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Gabriel\Desktop\OJT-project-master\OJT-project-master\reports\"/>
    </mc:Choice>
  </mc:AlternateContent>
  <xr:revisionPtr revIDLastSave="0" documentId="8_{D7D7231E-5D88-4CBD-BECA-D7342EA8B069}" xr6:coauthVersionLast="47" xr6:coauthVersionMax="47" xr10:uidLastSave="{00000000-0000-0000-0000-000000000000}"/>
  <bookViews>
    <workbookView xWindow="-120" yWindow="-120" windowWidth="29040" windowHeight="15720" tabRatio="598" activeTab="7" xr2:uid="{00000000-000D-0000-FFFF-FFFF00000000}"/>
  </bookViews>
  <sheets>
    <sheet name="Dash Board" sheetId="31" r:id="rId1"/>
    <sheet name="Software" sheetId="19" state="hidden" r:id="rId2"/>
    <sheet name="Calibration Data" sheetId="35" state="hidden" r:id="rId3"/>
    <sheet name="Load Cell db" sheetId="29" state="hidden" r:id="rId4"/>
    <sheet name="Data" sheetId="37" r:id="rId5"/>
    <sheet name="Certificate 10PTS" sheetId="36" state="hidden" r:id="rId6"/>
    <sheet name="Certificate 10 pts" sheetId="40" state="hidden" r:id="rId7"/>
    <sheet name="Certificate 5 pts (SI)" sheetId="43" r:id="rId8"/>
    <sheet name="Records" sheetId="34" r:id="rId9"/>
    <sheet name="Others db" sheetId="39" r:id="rId10"/>
    <sheet name="123" sheetId="28" state="hidden" r:id="rId11"/>
  </sheets>
  <externalReferences>
    <externalReference r:id="rId12"/>
    <externalReference r:id="rId13"/>
  </externalReferences>
  <definedNames>
    <definedName name="_xlnm._FilterDatabase" localSheetId="0" hidden="1">'Dash Board'!$K$17:$Q$24</definedName>
    <definedName name="calibrators" localSheetId="6">calibratorsdb[Name]</definedName>
    <definedName name="calibrators" localSheetId="7">[1]!calibratorsdb[Name]</definedName>
    <definedName name="calibrators">calibratorsdb[Name]</definedName>
    <definedName name="LoadCell" localSheetId="6">Table1[Description]</definedName>
    <definedName name="LoadCell" localSheetId="5">Table1[Description]</definedName>
    <definedName name="LoadCell" localSheetId="7">[1]!Table1[Description]</definedName>
    <definedName name="LoadCell">Table1[Description]</definedName>
    <definedName name="LoadCelldb" localSheetId="6">Table1[]</definedName>
    <definedName name="LoadCelldb" localSheetId="5">Table1[]</definedName>
    <definedName name="LoadCelldb" localSheetId="7">[1]!Table1[#Data]</definedName>
    <definedName name="LoadCelldb">Table1[]</definedName>
    <definedName name="_xlnm.Print_Area" localSheetId="2">'Calibration Data'!$A$1:$AS$35</definedName>
    <definedName name="_xlnm.Print_Area" localSheetId="6">'Certificate 10 pts'!$A$1:$R$92</definedName>
    <definedName name="_xlnm.Print_Area" localSheetId="5">'Certificate 10PTS'!$A$1:$R$89</definedName>
    <definedName name="_xlnm.Print_Area" localSheetId="4">Data!$B$1:$M$111</definedName>
    <definedName name="_xlnm.Print_Area" localSheetId="8">Records!$A$1:$Y$43</definedName>
    <definedName name="_xlnm.Print_Area" localSheetId="1">Software!$Q$5:$AH$51</definedName>
    <definedName name="sadasda">[2]!TypesMachinedb[#Data]</definedName>
    <definedName name="TypesMachine" localSheetId="6">#REF!</definedName>
    <definedName name="TypesMachine" localSheetId="5">#REF!</definedName>
    <definedName name="TypesMachine" localSheetId="7">[1]!TypesMachinedb3[#Data]</definedName>
    <definedName name="TypesMachine">TypesMachinedb3[Types of Machine]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6" i="43" l="1"/>
  <c r="H55" i="43"/>
  <c r="I16" i="34" l="1"/>
  <c r="B60" i="43" l="1"/>
  <c r="D19" i="37" l="1"/>
  <c r="B94" i="43" l="1"/>
  <c r="A74" i="43"/>
  <c r="A70" i="43"/>
  <c r="A71" i="43" s="1"/>
  <c r="B63" i="43"/>
  <c r="A47" i="43"/>
  <c r="H42" i="43"/>
  <c r="P25" i="43"/>
  <c r="L25" i="43"/>
  <c r="H19" i="43"/>
  <c r="H18" i="43"/>
  <c r="H17" i="43"/>
  <c r="H16" i="43"/>
  <c r="H15" i="43"/>
  <c r="H14" i="43"/>
  <c r="B13" i="43"/>
  <c r="H10" i="43"/>
  <c r="H9" i="43"/>
  <c r="A7" i="43"/>
  <c r="J74" i="43"/>
  <c r="M78" i="43" l="1"/>
  <c r="P82" i="43"/>
  <c r="M81" i="43"/>
  <c r="A75" i="43"/>
  <c r="K83" i="43"/>
  <c r="J77" i="43"/>
  <c r="J79" i="43"/>
  <c r="J80" i="43"/>
  <c r="R16" i="34"/>
  <c r="H11" i="43" l="1"/>
  <c r="I23" i="34" l="1"/>
  <c r="X98" i="37" l="1"/>
  <c r="X99" i="37"/>
  <c r="X100" i="37"/>
  <c r="X101" i="37"/>
  <c r="X102" i="37"/>
  <c r="K4" i="39"/>
  <c r="O13" i="29"/>
  <c r="E46" i="37"/>
  <c r="E45" i="37"/>
  <c r="B89" i="37" s="1"/>
  <c r="E44" i="37"/>
  <c r="E43" i="37"/>
  <c r="E42" i="37"/>
  <c r="M103" i="19"/>
  <c r="M102" i="19"/>
  <c r="M101" i="19"/>
  <c r="M100" i="19"/>
  <c r="M99" i="19"/>
  <c r="M87" i="19"/>
  <c r="M86" i="19"/>
  <c r="M85" i="19"/>
  <c r="M84" i="19"/>
  <c r="M83" i="19"/>
  <c r="M71" i="19"/>
  <c r="M70" i="19"/>
  <c r="M69" i="19"/>
  <c r="M68" i="19"/>
  <c r="M67" i="19"/>
  <c r="O66" i="19"/>
  <c r="V55" i="19"/>
  <c r="E40" i="19"/>
  <c r="E39" i="19"/>
  <c r="E38" i="19"/>
  <c r="E37" i="19"/>
  <c r="M27" i="19" s="1"/>
  <c r="G33" i="19"/>
  <c r="H33" i="19" s="1"/>
  <c r="I33" i="19" s="1"/>
  <c r="F33" i="19"/>
  <c r="G32" i="19"/>
  <c r="H32" i="19" s="1"/>
  <c r="I32" i="19" s="1"/>
  <c r="F32" i="19"/>
  <c r="G31" i="19"/>
  <c r="H31" i="19" s="1"/>
  <c r="I31" i="19" s="1"/>
  <c r="F31" i="19"/>
  <c r="G30" i="19"/>
  <c r="H30" i="19" s="1"/>
  <c r="I30" i="19" s="1"/>
  <c r="F30" i="19"/>
  <c r="G29" i="19"/>
  <c r="H29" i="19" s="1"/>
  <c r="I29" i="19" s="1"/>
  <c r="F29" i="19"/>
  <c r="G28" i="19"/>
  <c r="H28" i="19" s="1"/>
  <c r="I28" i="19" s="1"/>
  <c r="F28" i="19"/>
  <c r="G27" i="19"/>
  <c r="H27" i="19" s="1"/>
  <c r="I27" i="19" s="1"/>
  <c r="F27" i="19"/>
  <c r="G26" i="19"/>
  <c r="H26" i="19" s="1"/>
  <c r="I26" i="19" s="1"/>
  <c r="F26" i="19"/>
  <c r="G25" i="19"/>
  <c r="H25" i="19" s="1"/>
  <c r="I25" i="19" s="1"/>
  <c r="F25" i="19"/>
  <c r="G24" i="19"/>
  <c r="H24" i="19" s="1"/>
  <c r="I24" i="19" s="1"/>
  <c r="F24" i="19"/>
  <c r="G23" i="19"/>
  <c r="H23" i="19" s="1"/>
  <c r="I23" i="19" s="1"/>
  <c r="F23" i="19"/>
  <c r="G22" i="19"/>
  <c r="H22" i="19" s="1"/>
  <c r="I22" i="19" s="1"/>
  <c r="J22" i="19" s="1"/>
  <c r="F22" i="19"/>
  <c r="E21" i="19"/>
  <c r="M20" i="19"/>
  <c r="B10" i="19"/>
  <c r="B9" i="19"/>
  <c r="B8" i="19"/>
  <c r="F7" i="19"/>
  <c r="B7" i="19"/>
  <c r="F6" i="19"/>
  <c r="H37" i="19" s="1"/>
  <c r="J37" i="19" s="1"/>
  <c r="B6" i="19"/>
  <c r="G19" i="37"/>
  <c r="K13" i="37"/>
  <c r="L85" i="37" l="1"/>
  <c r="K85" i="37"/>
  <c r="J85" i="37"/>
  <c r="C26" i="43"/>
  <c r="J25" i="19"/>
  <c r="H39" i="19"/>
  <c r="J39" i="19" s="1"/>
  <c r="H36" i="19"/>
  <c r="J36" i="19" s="1"/>
  <c r="H38" i="19"/>
  <c r="J38" i="19" s="1"/>
  <c r="J27" i="19"/>
  <c r="J31" i="19"/>
  <c r="J30" i="19"/>
  <c r="J23" i="19"/>
  <c r="J28" i="19"/>
  <c r="J32" i="19"/>
  <c r="J26" i="19"/>
  <c r="J24" i="19"/>
  <c r="J29" i="19"/>
  <c r="J33" i="19"/>
  <c r="H40" i="19"/>
  <c r="B66" i="40"/>
  <c r="K32" i="19" l="1"/>
  <c r="K33" i="19"/>
  <c r="K24" i="19"/>
  <c r="K23" i="19"/>
  <c r="K25" i="19"/>
  <c r="K31" i="19"/>
  <c r="K27" i="19"/>
  <c r="K22" i="19"/>
  <c r="K26" i="19"/>
  <c r="K28" i="19"/>
  <c r="K29" i="19"/>
  <c r="K30" i="19"/>
  <c r="O36" i="40"/>
  <c r="L36" i="40"/>
  <c r="K36" i="40"/>
  <c r="I36" i="40"/>
  <c r="G36" i="40"/>
  <c r="B92" i="40"/>
  <c r="A81" i="40"/>
  <c r="J81" i="40" s="1"/>
  <c r="A77" i="40"/>
  <c r="A78" i="40" s="1"/>
  <c r="B73" i="40"/>
  <c r="B72" i="40"/>
  <c r="B71" i="40"/>
  <c r="B68" i="40"/>
  <c r="G48" i="40"/>
  <c r="O25" i="40"/>
  <c r="G25" i="40"/>
  <c r="H19" i="40"/>
  <c r="H18" i="40"/>
  <c r="H16" i="40"/>
  <c r="B13" i="40"/>
  <c r="H10" i="40"/>
  <c r="H9" i="40"/>
  <c r="A7" i="40"/>
  <c r="A82" i="40" l="1"/>
  <c r="J84" i="40"/>
  <c r="J85" i="40"/>
  <c r="J88" i="40"/>
  <c r="J89" i="40"/>
  <c r="V26" i="35" l="1"/>
  <c r="V27" i="35"/>
  <c r="V28" i="35"/>
  <c r="V29" i="35"/>
  <c r="V30" i="35"/>
  <c r="V31" i="35"/>
  <c r="V32" i="35"/>
  <c r="V34" i="35"/>
  <c r="V35" i="35"/>
  <c r="V25" i="35"/>
  <c r="D18" i="35"/>
  <c r="D19" i="35"/>
  <c r="D17" i="35"/>
  <c r="C18" i="35"/>
  <c r="G20" i="37"/>
  <c r="G18" i="37"/>
  <c r="D20" i="37"/>
  <c r="D18" i="37"/>
  <c r="B20" i="37"/>
  <c r="B18" i="37"/>
  <c r="K12" i="37"/>
  <c r="C36" i="37"/>
  <c r="B41" i="37"/>
  <c r="C30" i="43" l="1"/>
  <c r="C29" i="43"/>
  <c r="C28" i="43"/>
  <c r="C27" i="43"/>
  <c r="G36" i="37"/>
  <c r="I36" i="37"/>
  <c r="A42" i="43"/>
  <c r="C43" i="37"/>
  <c r="D36" i="37"/>
  <c r="Q99" i="37"/>
  <c r="Q98" i="37"/>
  <c r="Q97" i="37"/>
  <c r="Q96" i="37"/>
  <c r="Q95" i="37"/>
  <c r="B95" i="37"/>
  <c r="P99" i="37" s="1"/>
  <c r="Q94" i="37"/>
  <c r="Q93" i="37"/>
  <c r="Q92" i="37"/>
  <c r="Q91" i="37"/>
  <c r="Q90" i="37"/>
  <c r="G30" i="43"/>
  <c r="G29" i="43"/>
  <c r="G28" i="43"/>
  <c r="G27" i="43"/>
  <c r="G26" i="43"/>
  <c r="J26" i="43" s="1"/>
  <c r="J30" i="43" l="1"/>
  <c r="J29" i="43"/>
  <c r="J28" i="43"/>
  <c r="J27" i="43"/>
  <c r="O23" i="34"/>
  <c r="P93" i="37"/>
  <c r="P90" i="37"/>
  <c r="P91" i="37"/>
  <c r="P92" i="37"/>
  <c r="U99" i="37"/>
  <c r="U101" i="37"/>
  <c r="P94" i="37"/>
  <c r="P96" i="37"/>
  <c r="P98" i="37"/>
  <c r="U98" i="37"/>
  <c r="U100" i="37"/>
  <c r="U102" i="37"/>
  <c r="P95" i="37"/>
  <c r="P97" i="37"/>
  <c r="AJ30" i="35"/>
  <c r="AJ31" i="35"/>
  <c r="AJ32" i="35"/>
  <c r="AJ33" i="35"/>
  <c r="AJ34" i="35"/>
  <c r="V33" i="35"/>
  <c r="G85" i="37" l="1"/>
  <c r="T31" i="35" l="1"/>
  <c r="A32" i="40" s="1"/>
  <c r="T32" i="35"/>
  <c r="A33" i="40" s="1"/>
  <c r="T33" i="35"/>
  <c r="A34" i="40" s="1"/>
  <c r="T34" i="35"/>
  <c r="A35" i="40" s="1"/>
  <c r="T35" i="35"/>
  <c r="T30" i="35"/>
  <c r="A31" i="40" s="1"/>
  <c r="U35" i="35" l="1"/>
  <c r="D36" i="40" s="1"/>
  <c r="A36" i="40"/>
  <c r="U32" i="35"/>
  <c r="D33" i="40" s="1"/>
  <c r="U34" i="35"/>
  <c r="D35" i="40" s="1"/>
  <c r="U33" i="35"/>
  <c r="D34" i="40" s="1"/>
  <c r="U31" i="35"/>
  <c r="D32" i="40" s="1"/>
  <c r="U30" i="35"/>
  <c r="D31" i="40" s="1"/>
  <c r="O5" i="29" l="1"/>
  <c r="O6" i="29"/>
  <c r="G40" i="19" s="1"/>
  <c r="A5" i="19" s="1"/>
  <c r="O7" i="29"/>
  <c r="O8" i="29"/>
  <c r="O9" i="29"/>
  <c r="O10" i="29"/>
  <c r="O11" i="29"/>
  <c r="O12" i="29"/>
  <c r="O4" i="29"/>
  <c r="C30" i="35" l="1"/>
  <c r="W30" i="35"/>
  <c r="X30" i="35"/>
  <c r="Y30" i="35"/>
  <c r="Z30" i="35"/>
  <c r="AA30" i="35"/>
  <c r="W31" i="35"/>
  <c r="X31" i="35"/>
  <c r="Y31" i="35"/>
  <c r="Z31" i="35"/>
  <c r="AA31" i="35"/>
  <c r="C32" i="35"/>
  <c r="W32" i="35"/>
  <c r="X32" i="35"/>
  <c r="Y32" i="35"/>
  <c r="Z32" i="35"/>
  <c r="AA32" i="35"/>
  <c r="W33" i="35"/>
  <c r="X33" i="35"/>
  <c r="Y33" i="35"/>
  <c r="Z33" i="35"/>
  <c r="AA33" i="35"/>
  <c r="C34" i="35"/>
  <c r="W34" i="35"/>
  <c r="X34" i="35"/>
  <c r="Y34" i="35"/>
  <c r="Z34" i="35"/>
  <c r="AA34" i="35"/>
  <c r="F34" i="35" l="1"/>
  <c r="F30" i="35"/>
  <c r="F31" i="35"/>
  <c r="E34" i="35"/>
  <c r="E31" i="35"/>
  <c r="E30" i="35"/>
  <c r="F33" i="35"/>
  <c r="F32" i="35"/>
  <c r="E33" i="35"/>
  <c r="E32" i="35"/>
  <c r="AB34" i="35"/>
  <c r="D34" i="35"/>
  <c r="D31" i="35"/>
  <c r="AB31" i="35"/>
  <c r="D30" i="35"/>
  <c r="AB30" i="35"/>
  <c r="D33" i="35"/>
  <c r="AB33" i="35"/>
  <c r="AB32" i="35"/>
  <c r="D32" i="35"/>
  <c r="J34" i="35"/>
  <c r="J32" i="35"/>
  <c r="J30" i="35"/>
  <c r="C33" i="35"/>
  <c r="J33" i="35"/>
  <c r="C31" i="35"/>
  <c r="J31" i="35"/>
  <c r="G32" i="35" l="1"/>
  <c r="G34" i="35"/>
  <c r="G33" i="35"/>
  <c r="G30" i="35"/>
  <c r="G31" i="35"/>
  <c r="B70" i="40" l="1"/>
  <c r="A24" i="40"/>
  <c r="B89" i="36"/>
  <c r="B71" i="36"/>
  <c r="B70" i="36"/>
  <c r="B68" i="36"/>
  <c r="K61" i="36"/>
  <c r="I61" i="36"/>
  <c r="O51" i="36"/>
  <c r="G51" i="36"/>
  <c r="A50" i="36"/>
  <c r="G32" i="36"/>
  <c r="H19" i="36"/>
  <c r="H18" i="36"/>
  <c r="H16" i="36"/>
  <c r="B13" i="36"/>
  <c r="H10" i="36"/>
  <c r="H9" i="36"/>
  <c r="A7" i="36"/>
  <c r="AC24" i="35" l="1"/>
  <c r="AC35" i="35"/>
  <c r="L10" i="35" l="1"/>
  <c r="H11" i="40" s="1"/>
  <c r="H11" i="36" l="1"/>
  <c r="AE24" i="35"/>
  <c r="C17" i="35" l="1"/>
  <c r="E17" i="35"/>
  <c r="F17" i="35"/>
  <c r="G17" i="35"/>
  <c r="H17" i="35"/>
  <c r="E18" i="35"/>
  <c r="F18" i="35"/>
  <c r="G18" i="35"/>
  <c r="H18" i="35"/>
  <c r="C19" i="35"/>
  <c r="E19" i="35"/>
  <c r="F19" i="35"/>
  <c r="G19" i="35"/>
  <c r="H19" i="35"/>
  <c r="V24" i="35"/>
  <c r="W24" i="35"/>
  <c r="X24" i="35"/>
  <c r="Y24" i="35"/>
  <c r="Z24" i="35"/>
  <c r="AA24" i="35"/>
  <c r="W25" i="35"/>
  <c r="X25" i="35"/>
  <c r="Y25" i="35"/>
  <c r="Z25" i="35"/>
  <c r="AA25" i="35"/>
  <c r="W26" i="35"/>
  <c r="X26" i="35"/>
  <c r="Y26" i="35"/>
  <c r="Z26" i="35"/>
  <c r="AA26" i="35"/>
  <c r="W27" i="35"/>
  <c r="X27" i="35"/>
  <c r="Y27" i="35"/>
  <c r="Z27" i="35"/>
  <c r="AA27" i="35"/>
  <c r="W28" i="35"/>
  <c r="X28" i="35"/>
  <c r="Y28" i="35"/>
  <c r="Z28" i="35"/>
  <c r="AA28" i="35"/>
  <c r="W29" i="35"/>
  <c r="X29" i="35"/>
  <c r="Y29" i="35"/>
  <c r="Z29" i="35"/>
  <c r="AA29" i="35"/>
  <c r="AB24" i="35" l="1"/>
  <c r="AB26" i="35"/>
  <c r="AB29" i="35"/>
  <c r="AB25" i="35"/>
  <c r="AB28" i="35"/>
  <c r="AB27" i="35"/>
  <c r="AJ26" i="35" l="1"/>
  <c r="AJ27" i="35"/>
  <c r="AJ28" i="35"/>
  <c r="AJ29" i="35"/>
  <c r="AJ25" i="35"/>
  <c r="T26" i="35" l="1"/>
  <c r="T25" i="35"/>
  <c r="T27" i="35"/>
  <c r="A28" i="40" s="1"/>
  <c r="T28" i="35"/>
  <c r="A29" i="40" s="1"/>
  <c r="T29" i="35"/>
  <c r="A57" i="36"/>
  <c r="A58" i="36"/>
  <c r="A59" i="36"/>
  <c r="A60" i="36"/>
  <c r="A61" i="36"/>
  <c r="T24" i="35"/>
  <c r="A25" i="40" s="1"/>
  <c r="D59" i="36"/>
  <c r="J35" i="35"/>
  <c r="W35" i="35"/>
  <c r="X35" i="35"/>
  <c r="Y35" i="35"/>
  <c r="Z35" i="35"/>
  <c r="AA35" i="35"/>
  <c r="Q18" i="35"/>
  <c r="Q17" i="35"/>
  <c r="P18" i="35"/>
  <c r="P17" i="35"/>
  <c r="O19" i="31"/>
  <c r="L9" i="35"/>
  <c r="C13" i="35"/>
  <c r="C12" i="35"/>
  <c r="C11" i="35"/>
  <c r="C10" i="35"/>
  <c r="C9" i="35"/>
  <c r="C8" i="35"/>
  <c r="C7" i="35"/>
  <c r="H17" i="40" s="1"/>
  <c r="C6" i="35"/>
  <c r="U29" i="35" l="1"/>
  <c r="D30" i="40" s="1"/>
  <c r="A30" i="40"/>
  <c r="H14" i="40"/>
  <c r="H15" i="40"/>
  <c r="A26" i="40"/>
  <c r="U25" i="35"/>
  <c r="D26" i="40" s="1"/>
  <c r="U26" i="35"/>
  <c r="D27" i="40" s="1"/>
  <c r="A27" i="40"/>
  <c r="A51" i="36"/>
  <c r="U24" i="35"/>
  <c r="D57" i="36"/>
  <c r="D61" i="36"/>
  <c r="D60" i="36"/>
  <c r="V36" i="35"/>
  <c r="A54" i="36"/>
  <c r="U27" i="35"/>
  <c r="D28" i="40" s="1"/>
  <c r="A56" i="36"/>
  <c r="D58" i="36"/>
  <c r="A55" i="36"/>
  <c r="A53" i="36"/>
  <c r="A52" i="36"/>
  <c r="H15" i="36"/>
  <c r="H14" i="36"/>
  <c r="H17" i="36"/>
  <c r="P19" i="35"/>
  <c r="AE29" i="35"/>
  <c r="U28" i="35"/>
  <c r="D29" i="40" s="1"/>
  <c r="Q19" i="35"/>
  <c r="AB35" i="35"/>
  <c r="F29" i="35" l="1"/>
  <c r="H61" i="40"/>
  <c r="H60" i="40"/>
  <c r="J29" i="35"/>
  <c r="AS29" i="35" s="1"/>
  <c r="AW29" i="35" s="1"/>
  <c r="E29" i="35"/>
  <c r="D29" i="35"/>
  <c r="C29" i="35"/>
  <c r="D56" i="36"/>
  <c r="C26" i="35"/>
  <c r="D53" i="36"/>
  <c r="E26" i="35"/>
  <c r="D26" i="35"/>
  <c r="J26" i="35"/>
  <c r="F26" i="35"/>
  <c r="D51" i="36"/>
  <c r="D25" i="40"/>
  <c r="AI30" i="35"/>
  <c r="AI31" i="35"/>
  <c r="AI32" i="35"/>
  <c r="AI33" i="35"/>
  <c r="AI34" i="35"/>
  <c r="J24" i="35"/>
  <c r="F28" i="35"/>
  <c r="E28" i="35"/>
  <c r="D28" i="35"/>
  <c r="E27" i="35"/>
  <c r="F27" i="35"/>
  <c r="D27" i="35"/>
  <c r="F25" i="35"/>
  <c r="D25" i="35"/>
  <c r="E25" i="35"/>
  <c r="D55" i="36"/>
  <c r="D54" i="36"/>
  <c r="D52" i="36"/>
  <c r="J28" i="35"/>
  <c r="J27" i="35"/>
  <c r="H43" i="36"/>
  <c r="H42" i="36"/>
  <c r="C27" i="35"/>
  <c r="AI25" i="35"/>
  <c r="AI26" i="35"/>
  <c r="AI27" i="35"/>
  <c r="AI28" i="35"/>
  <c r="AI29" i="35"/>
  <c r="J25" i="35"/>
  <c r="C25" i="35"/>
  <c r="C28" i="35"/>
  <c r="G29" i="35" l="1"/>
  <c r="AS25" i="35"/>
  <c r="AW25" i="35" s="1"/>
  <c r="AS27" i="35"/>
  <c r="AW27" i="35" s="1"/>
  <c r="AS32" i="35"/>
  <c r="AW32" i="35" s="1"/>
  <c r="AS28" i="35"/>
  <c r="AW28" i="35" s="1"/>
  <c r="AS31" i="35"/>
  <c r="AW31" i="35" s="1"/>
  <c r="AS34" i="35"/>
  <c r="AW34" i="35" s="1"/>
  <c r="AS30" i="35"/>
  <c r="AW30" i="35" s="1"/>
  <c r="AS26" i="35"/>
  <c r="AW26" i="35" s="1"/>
  <c r="AS33" i="35"/>
  <c r="AW33" i="35" s="1"/>
  <c r="G26" i="35"/>
  <c r="A32" i="36"/>
  <c r="A48" i="40"/>
  <c r="J32" i="36"/>
  <c r="J48" i="40"/>
  <c r="G27" i="35"/>
  <c r="G28" i="35"/>
  <c r="G25" i="35"/>
  <c r="L16" i="35"/>
  <c r="Q19" i="31" l="1"/>
  <c r="F8" i="19" l="1"/>
  <c r="H12" i="43"/>
  <c r="O20" i="31"/>
  <c r="O21" i="31"/>
  <c r="F10" i="19" s="1"/>
  <c r="K18" i="19" s="1"/>
  <c r="L12" i="35"/>
  <c r="H13" i="40" s="1"/>
  <c r="L13" i="35"/>
  <c r="L11" i="35"/>
  <c r="H12" i="40" s="1"/>
  <c r="F9" i="19" l="1"/>
  <c r="B64" i="43"/>
  <c r="H13" i="43"/>
  <c r="H13" i="36"/>
  <c r="H12" i="36"/>
  <c r="B85" i="37" l="1"/>
  <c r="I85" i="37" s="1"/>
  <c r="G68" i="37"/>
  <c r="D68" i="37"/>
  <c r="I68" i="37"/>
  <c r="B91" i="37"/>
  <c r="C68" i="37"/>
  <c r="F68" i="37"/>
  <c r="H68" i="37"/>
  <c r="J18" i="34"/>
  <c r="J15" i="34"/>
  <c r="J14" i="34"/>
  <c r="J13" i="34"/>
  <c r="J12" i="34"/>
  <c r="U96" i="37" l="1"/>
  <c r="U97" i="37"/>
  <c r="U94" i="37"/>
  <c r="J19" i="35"/>
  <c r="U95" i="37" l="1"/>
  <c r="U93" i="37"/>
  <c r="J17" i="35"/>
  <c r="J18" i="35"/>
  <c r="M19" i="35" l="1"/>
  <c r="M18" i="35"/>
  <c r="AE21" i="35"/>
  <c r="AY33" i="35" s="1"/>
  <c r="M17" i="35"/>
  <c r="AY25" i="35" l="1"/>
  <c r="AY31" i="35"/>
  <c r="AH29" i="35"/>
  <c r="AK29" i="35" s="1"/>
  <c r="AY32" i="35"/>
  <c r="AY30" i="35"/>
  <c r="AH32" i="35"/>
  <c r="AK32" i="35" s="1"/>
  <c r="AH34" i="35"/>
  <c r="AK34" i="35" s="1"/>
  <c r="AY28" i="35"/>
  <c r="AY27" i="35"/>
  <c r="AH31" i="35"/>
  <c r="AK31" i="35" s="1"/>
  <c r="AH27" i="35"/>
  <c r="AK27" i="35" s="1"/>
  <c r="AH30" i="35"/>
  <c r="AK30" i="35" s="1"/>
  <c r="AH25" i="35"/>
  <c r="AK25" i="35" s="1"/>
  <c r="AY26" i="35"/>
  <c r="AH33" i="35"/>
  <c r="AK33" i="35" s="1"/>
  <c r="AH26" i="35"/>
  <c r="AK26" i="35" s="1"/>
  <c r="AH28" i="35"/>
  <c r="AK28" i="35" s="1"/>
  <c r="AY34" i="35"/>
  <c r="AY29" i="35"/>
  <c r="O99" i="37"/>
  <c r="W95" i="37"/>
  <c r="O96" i="37"/>
  <c r="W97" i="37"/>
  <c r="O90" i="37"/>
  <c r="W96" i="37"/>
  <c r="W100" i="37"/>
  <c r="O91" i="37"/>
  <c r="O98" i="37"/>
  <c r="W94" i="37"/>
  <c r="W98" i="37"/>
  <c r="O95" i="37"/>
  <c r="O94" i="37"/>
  <c r="O93" i="37"/>
  <c r="W101" i="37"/>
  <c r="W102" i="37"/>
  <c r="W99" i="37"/>
  <c r="O92" i="37"/>
  <c r="W93" i="37"/>
  <c r="O97" i="37"/>
  <c r="M26" i="35"/>
  <c r="L26" i="35"/>
  <c r="L29" i="35"/>
  <c r="K26" i="35"/>
  <c r="M29" i="35"/>
  <c r="K29" i="35"/>
  <c r="M25" i="35"/>
  <c r="L27" i="35"/>
  <c r="K25" i="35"/>
  <c r="K28" i="35"/>
  <c r="L25" i="35"/>
  <c r="K27" i="35"/>
  <c r="L28" i="35"/>
  <c r="M27" i="35"/>
  <c r="M28" i="35"/>
  <c r="M34" i="35"/>
  <c r="M31" i="35"/>
  <c r="M30" i="35"/>
  <c r="L34" i="35"/>
  <c r="L31" i="35"/>
  <c r="L30" i="35"/>
  <c r="L32" i="35"/>
  <c r="L33" i="35"/>
  <c r="K34" i="35"/>
  <c r="K33" i="35"/>
  <c r="K31" i="35"/>
  <c r="M32" i="35"/>
  <c r="M33" i="35"/>
  <c r="K32" i="35"/>
  <c r="K30" i="35"/>
  <c r="G24" i="35"/>
  <c r="G35" i="35"/>
  <c r="M35" i="35"/>
  <c r="L35" i="35"/>
  <c r="T101" i="37" l="1"/>
  <c r="S102" i="37"/>
  <c r="M85" i="37"/>
  <c r="S98" i="37"/>
  <c r="S99" i="37"/>
  <c r="N28" i="35"/>
  <c r="N29" i="35"/>
  <c r="N26" i="35"/>
  <c r="N27" i="35"/>
  <c r="N25" i="35"/>
  <c r="N31" i="35"/>
  <c r="G32" i="40" s="1"/>
  <c r="N30" i="35"/>
  <c r="G31" i="40" s="1"/>
  <c r="N34" i="35"/>
  <c r="G35" i="40" s="1"/>
  <c r="N32" i="35"/>
  <c r="G33" i="40" s="1"/>
  <c r="N33" i="35"/>
  <c r="G34" i="40" s="1"/>
  <c r="AF37" i="35"/>
  <c r="T97" i="37" l="1"/>
  <c r="P30" i="43"/>
  <c r="P28" i="43"/>
  <c r="T98" i="37"/>
  <c r="P29" i="43"/>
  <c r="S101" i="37"/>
  <c r="T102" i="37"/>
  <c r="P27" i="43"/>
  <c r="V86" i="37"/>
  <c r="V93" i="37" s="1"/>
  <c r="P26" i="43"/>
  <c r="T99" i="37"/>
  <c r="S100" i="37"/>
  <c r="T100" i="37"/>
  <c r="V99" i="37"/>
  <c r="V102" i="37"/>
  <c r="V100" i="37"/>
  <c r="V101" i="37"/>
  <c r="V98" i="37"/>
  <c r="AC26" i="35"/>
  <c r="G27" i="40"/>
  <c r="AC29" i="35"/>
  <c r="G30" i="40"/>
  <c r="G52" i="36"/>
  <c r="G26" i="40"/>
  <c r="G55" i="36"/>
  <c r="G29" i="40"/>
  <c r="G54" i="36"/>
  <c r="G28" i="40"/>
  <c r="AR30" i="35"/>
  <c r="AR34" i="35"/>
  <c r="L35" i="40" s="1"/>
  <c r="AG32" i="35"/>
  <c r="AF32" i="35"/>
  <c r="AG33" i="35"/>
  <c r="AF33" i="35"/>
  <c r="AQ34" i="35"/>
  <c r="K35" i="40" s="1"/>
  <c r="AG34" i="35"/>
  <c r="AF34" i="35"/>
  <c r="AG31" i="35"/>
  <c r="AF31" i="35"/>
  <c r="AL31" i="35" s="1"/>
  <c r="AO31" i="35" s="1"/>
  <c r="I32" i="40" s="1"/>
  <c r="AQ30" i="35"/>
  <c r="AF30" i="35"/>
  <c r="AG30" i="35"/>
  <c r="AR31" i="35"/>
  <c r="L32" i="40" s="1"/>
  <c r="AQ31" i="35"/>
  <c r="K32" i="40" s="1"/>
  <c r="AQ26" i="35"/>
  <c r="AC27" i="35"/>
  <c r="AQ27" i="35"/>
  <c r="AR27" i="35"/>
  <c r="AF27" i="35"/>
  <c r="AR28" i="35"/>
  <c r="AG27" i="35"/>
  <c r="G61" i="36"/>
  <c r="AR26" i="35"/>
  <c r="G53" i="36"/>
  <c r="G57" i="36"/>
  <c r="AR33" i="35"/>
  <c r="L34" i="40" s="1"/>
  <c r="AQ33" i="35"/>
  <c r="K34" i="40" s="1"/>
  <c r="AR32" i="35"/>
  <c r="L33" i="40" s="1"/>
  <c r="AQ32" i="35"/>
  <c r="K33" i="40" s="1"/>
  <c r="AF26" i="35"/>
  <c r="AG26" i="35"/>
  <c r="AQ28" i="35"/>
  <c r="AC28" i="35"/>
  <c r="AF28" i="35"/>
  <c r="AG28" i="35"/>
  <c r="AG29" i="35"/>
  <c r="AR29" i="35"/>
  <c r="G56" i="36"/>
  <c r="AF29" i="35"/>
  <c r="AQ29" i="35"/>
  <c r="AX18" i="35"/>
  <c r="AX32" i="35" s="1"/>
  <c r="AF25" i="35"/>
  <c r="AR25" i="35"/>
  <c r="G60" i="36"/>
  <c r="AC32" i="35"/>
  <c r="AC34" i="35"/>
  <c r="AC31" i="35"/>
  <c r="AC30" i="35"/>
  <c r="G59" i="36"/>
  <c r="G58" i="36"/>
  <c r="AC33" i="35"/>
  <c r="AG25" i="35"/>
  <c r="AQ25" i="35"/>
  <c r="K26" i="40" s="1"/>
  <c r="AC25" i="35"/>
  <c r="B62" i="43" l="1"/>
  <c r="L27" i="43"/>
  <c r="L29" i="43"/>
  <c r="L30" i="43"/>
  <c r="T94" i="37"/>
  <c r="T96" i="37"/>
  <c r="T95" i="37"/>
  <c r="T93" i="37"/>
  <c r="L26" i="43"/>
  <c r="S93" i="37"/>
  <c r="S96" i="37"/>
  <c r="S94" i="37"/>
  <c r="S95" i="37"/>
  <c r="S97" i="37"/>
  <c r="X97" i="37" s="1"/>
  <c r="M100" i="37"/>
  <c r="V97" i="37"/>
  <c r="V96" i="37"/>
  <c r="V95" i="37"/>
  <c r="V94" i="37"/>
  <c r="L53" i="36"/>
  <c r="L27" i="40"/>
  <c r="K54" i="36"/>
  <c r="K29" i="40"/>
  <c r="K30" i="40"/>
  <c r="L55" i="36"/>
  <c r="L29" i="40"/>
  <c r="L54" i="36"/>
  <c r="L28" i="40"/>
  <c r="K28" i="40"/>
  <c r="L56" i="36"/>
  <c r="L30" i="40"/>
  <c r="K52" i="36"/>
  <c r="K27" i="40"/>
  <c r="L52" i="36"/>
  <c r="L26" i="40"/>
  <c r="AL29" i="35"/>
  <c r="AO29" i="35" s="1"/>
  <c r="I55" i="36" s="1"/>
  <c r="AL33" i="35"/>
  <c r="AO33" i="35" s="1"/>
  <c r="I34" i="40" s="1"/>
  <c r="AL30" i="35"/>
  <c r="AO30" i="35" s="1"/>
  <c r="AL34" i="35"/>
  <c r="AO34" i="35" s="1"/>
  <c r="I35" i="40" s="1"/>
  <c r="AU30" i="35"/>
  <c r="AV33" i="35"/>
  <c r="AL32" i="35"/>
  <c r="AO32" i="35" s="1"/>
  <c r="I33" i="40" s="1"/>
  <c r="K55" i="36"/>
  <c r="L60" i="36"/>
  <c r="AV27" i="35"/>
  <c r="K53" i="36"/>
  <c r="AU26" i="35"/>
  <c r="AV28" i="35"/>
  <c r="AU27" i="35"/>
  <c r="AL27" i="35"/>
  <c r="AO27" i="35" s="1"/>
  <c r="AV26" i="35"/>
  <c r="AL26" i="35"/>
  <c r="AO26" i="35" s="1"/>
  <c r="AL28" i="35"/>
  <c r="AO28" i="35" s="1"/>
  <c r="AU28" i="35"/>
  <c r="AV29" i="35"/>
  <c r="AX28" i="35"/>
  <c r="AX34" i="35"/>
  <c r="AX29" i="35"/>
  <c r="AX30" i="35"/>
  <c r="AU29" i="35"/>
  <c r="AX25" i="35"/>
  <c r="AX27" i="35"/>
  <c r="AL25" i="35"/>
  <c r="AO25" i="35" s="1"/>
  <c r="AX33" i="35"/>
  <c r="AX26" i="35"/>
  <c r="AX31" i="35"/>
  <c r="AV25" i="35"/>
  <c r="AU25" i="35"/>
  <c r="I57" i="36"/>
  <c r="AU33" i="35"/>
  <c r="AZ33" i="35" s="1"/>
  <c r="O34" i="40" s="1"/>
  <c r="K59" i="36"/>
  <c r="AV34" i="35"/>
  <c r="L61" i="36"/>
  <c r="AU32" i="35"/>
  <c r="K58" i="36"/>
  <c r="K56" i="36"/>
  <c r="AU31" i="35"/>
  <c r="K57" i="36"/>
  <c r="AV32" i="35"/>
  <c r="L59" i="36"/>
  <c r="AV30" i="35"/>
  <c r="L57" i="36"/>
  <c r="AV31" i="35"/>
  <c r="L58" i="36"/>
  <c r="AU34" i="35"/>
  <c r="K60" i="36"/>
  <c r="X93" i="37" l="1"/>
  <c r="X94" i="37"/>
  <c r="X96" i="37"/>
  <c r="X95" i="37"/>
  <c r="L28" i="43"/>
  <c r="AM29" i="35"/>
  <c r="I59" i="36"/>
  <c r="I28" i="40"/>
  <c r="I29" i="40"/>
  <c r="I30" i="40"/>
  <c r="I26" i="40"/>
  <c r="I27" i="40"/>
  <c r="I60" i="36"/>
  <c r="I58" i="36"/>
  <c r="O60" i="36"/>
  <c r="AZ30" i="35"/>
  <c r="O31" i="40" s="1"/>
  <c r="AZ34" i="35"/>
  <c r="O35" i="40" s="1"/>
  <c r="AZ31" i="35"/>
  <c r="O32" i="40" s="1"/>
  <c r="AZ32" i="35"/>
  <c r="O33" i="40" s="1"/>
  <c r="I54" i="36"/>
  <c r="AZ27" i="35"/>
  <c r="AZ26" i="35"/>
  <c r="O27" i="40" s="1"/>
  <c r="AZ28" i="35"/>
  <c r="O29" i="40" s="1"/>
  <c r="AM28" i="35"/>
  <c r="AM27" i="35"/>
  <c r="I53" i="36"/>
  <c r="AM26" i="35"/>
  <c r="I52" i="36"/>
  <c r="AZ29" i="35"/>
  <c r="AZ25" i="35"/>
  <c r="O26" i="40" s="1"/>
  <c r="AM25" i="35"/>
  <c r="I56" i="36"/>
  <c r="O56" i="36" l="1"/>
  <c r="O30" i="40"/>
  <c r="O28" i="40"/>
  <c r="O58" i="36"/>
  <c r="O61" i="36"/>
  <c r="O57" i="36"/>
  <c r="O59" i="36"/>
  <c r="O54" i="36"/>
  <c r="O53" i="36"/>
  <c r="O55" i="36"/>
  <c r="O52"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D7" authorId="0" shapeId="0" xr:uid="{4D238FF2-2AE9-433D-AC48-0F22C41E8FC1}">
      <text>
        <r>
          <rPr>
            <b/>
            <sz val="9"/>
            <color indexed="81"/>
            <rFont val="Tahoma"/>
            <family val="2"/>
          </rPr>
          <t xml:space="preserve">This will be displayed in the certificate
</t>
        </r>
      </text>
    </comment>
  </commentList>
</comments>
</file>

<file path=xl/sharedStrings.xml><?xml version="1.0" encoding="utf-8"?>
<sst xmlns="http://schemas.openxmlformats.org/spreadsheetml/2006/main" count="1347" uniqueCount="417">
  <si>
    <t>A</t>
  </si>
  <si>
    <t>B</t>
  </si>
  <si>
    <t>C</t>
  </si>
  <si>
    <t>kgf</t>
  </si>
  <si>
    <t>kN</t>
  </si>
  <si>
    <t>3rd</t>
  </si>
  <si>
    <t>2nd</t>
  </si>
  <si>
    <t>1st</t>
  </si>
  <si>
    <t>Zero</t>
  </si>
  <si>
    <t>1st Test point</t>
  </si>
  <si>
    <t>2nd Test point</t>
  </si>
  <si>
    <t>3rd Test point</t>
  </si>
  <si>
    <t>4th Test point</t>
  </si>
  <si>
    <t>5th Test point</t>
  </si>
  <si>
    <t>6th Test point</t>
  </si>
  <si>
    <t>7th Test point</t>
  </si>
  <si>
    <t>8th Test point</t>
  </si>
  <si>
    <t>9th Test point</t>
  </si>
  <si>
    <t>10th Test point</t>
  </si>
  <si>
    <t>Load Cell Indication, mV/V</t>
  </si>
  <si>
    <t>zero corrected</t>
  </si>
  <si>
    <t>raw</t>
  </si>
  <si>
    <t>Test</t>
  </si>
  <si>
    <t>Point No.</t>
  </si>
  <si>
    <t>4th</t>
  </si>
  <si>
    <t>5th</t>
  </si>
  <si>
    <t>6th</t>
  </si>
  <si>
    <t>7th</t>
  </si>
  <si>
    <t>8th</t>
  </si>
  <si>
    <t>9th</t>
  </si>
  <si>
    <t>10th</t>
  </si>
  <si>
    <t>Equivalent Force, kN</t>
  </si>
  <si>
    <t>U</t>
  </si>
  <si>
    <t>k</t>
  </si>
  <si>
    <t>Calibration Worksheet</t>
  </si>
  <si>
    <t>Machine Indication</t>
  </si>
  <si>
    <t>U, %</t>
  </si>
  <si>
    <t>Resolution</t>
  </si>
  <si>
    <t>Machine Indicator Readability</t>
  </si>
  <si>
    <t>Data Logger</t>
  </si>
  <si>
    <t>Request Reference No.</t>
  </si>
  <si>
    <t>Calibration Item</t>
  </si>
  <si>
    <t xml:space="preserve">   Make / Model No.</t>
  </si>
  <si>
    <t>Date of Calibration</t>
  </si>
  <si>
    <t xml:space="preserve">   Serial No. / ID No.</t>
  </si>
  <si>
    <t>Range</t>
  </si>
  <si>
    <t>Increment/Graduation</t>
  </si>
  <si>
    <t>Load Cell</t>
  </si>
  <si>
    <t>Cal Date</t>
  </si>
  <si>
    <t>Capacity</t>
  </si>
  <si>
    <t>Force, N</t>
  </si>
  <si>
    <t>5 kN</t>
  </si>
  <si>
    <t>Cal. Cert. No.</t>
  </si>
  <si>
    <t>Name of Standard</t>
  </si>
  <si>
    <t>Make / Model</t>
  </si>
  <si>
    <t>Traceability</t>
  </si>
  <si>
    <t>Environmental Conditions:</t>
  </si>
  <si>
    <t>Ambient Temperature</t>
  </si>
  <si>
    <t>Relative Humidity</t>
  </si>
  <si>
    <t>Applied Force</t>
  </si>
  <si>
    <t>Description</t>
  </si>
  <si>
    <t>Serial Number</t>
  </si>
  <si>
    <t>HBM/C6</t>
  </si>
  <si>
    <t>HBM/TCBS</t>
  </si>
  <si>
    <t>HBM/C3H3</t>
  </si>
  <si>
    <t>HBM/Z3H3</t>
  </si>
  <si>
    <t>HBM/Z3OA</t>
  </si>
  <si>
    <t>WBRC/R200K</t>
  </si>
  <si>
    <t>WBRC-R2M</t>
  </si>
  <si>
    <t>F42442</t>
  </si>
  <si>
    <t>F93007</t>
  </si>
  <si>
    <t>F73724</t>
  </si>
  <si>
    <t>WB-1210-010</t>
  </si>
  <si>
    <t>WB-121005</t>
  </si>
  <si>
    <t>Calibration Certificate</t>
  </si>
  <si>
    <t>Calibration Date</t>
  </si>
  <si>
    <t>Next Cal Date</t>
  </si>
  <si>
    <r>
      <t xml:space="preserve">a' </t>
    </r>
    <r>
      <rPr>
        <sz val="8"/>
        <color theme="1"/>
        <rFont val="Times New Roman"/>
        <family val="1"/>
      </rPr>
      <t>(Compression)</t>
    </r>
  </si>
  <si>
    <r>
      <t>b'</t>
    </r>
    <r>
      <rPr>
        <sz val="8"/>
        <color theme="1"/>
        <rFont val="Times New Roman"/>
        <family val="1"/>
      </rPr>
      <t xml:space="preserve"> (Compression)</t>
    </r>
  </si>
  <si>
    <r>
      <t xml:space="preserve">c' </t>
    </r>
    <r>
      <rPr>
        <sz val="8"/>
        <color theme="1"/>
        <rFont val="Times New Roman"/>
        <family val="1"/>
      </rPr>
      <t>(Compression)</t>
    </r>
  </si>
  <si>
    <r>
      <t xml:space="preserve">U </t>
    </r>
    <r>
      <rPr>
        <sz val="8"/>
        <color theme="1"/>
        <rFont val="Times New Roman"/>
        <family val="1"/>
      </rPr>
      <t>(Compression)</t>
    </r>
  </si>
  <si>
    <r>
      <t xml:space="preserve">a' </t>
    </r>
    <r>
      <rPr>
        <sz val="8"/>
        <color theme="1"/>
        <rFont val="Times New Roman"/>
        <family val="1"/>
      </rPr>
      <t>(Tension)</t>
    </r>
  </si>
  <si>
    <r>
      <t>b'</t>
    </r>
    <r>
      <rPr>
        <sz val="8"/>
        <color theme="1"/>
        <rFont val="Times New Roman"/>
        <family val="1"/>
      </rPr>
      <t xml:space="preserve"> (Tension)</t>
    </r>
  </si>
  <si>
    <r>
      <t>c'</t>
    </r>
    <r>
      <rPr>
        <sz val="8"/>
        <color theme="1"/>
        <rFont val="Times New Roman"/>
        <family val="1"/>
      </rPr>
      <t xml:space="preserve"> (Tension)</t>
    </r>
  </si>
  <si>
    <r>
      <t xml:space="preserve">U </t>
    </r>
    <r>
      <rPr>
        <sz val="8"/>
        <color theme="1"/>
        <rFont val="Times New Roman"/>
        <family val="1"/>
      </rPr>
      <t>(Tension)</t>
    </r>
  </si>
  <si>
    <t>1800-00040-005</t>
  </si>
  <si>
    <t>1800-00040-001</t>
  </si>
  <si>
    <t>1800-00040-002</t>
  </si>
  <si>
    <t>1800-00040-003</t>
  </si>
  <si>
    <t>--</t>
  </si>
  <si>
    <t>1800-00040-004</t>
  </si>
  <si>
    <t>1600-02019-004</t>
  </si>
  <si>
    <t>1600-02019-002</t>
  </si>
  <si>
    <t>1600-02019-003</t>
  </si>
  <si>
    <t>1600-02019-001</t>
  </si>
  <si>
    <t xml:space="preserve">  Make / Model No. :</t>
  </si>
  <si>
    <t xml:space="preserve">  Serial No. / ID No.  :</t>
  </si>
  <si>
    <t>TSR #</t>
  </si>
  <si>
    <t>In-Charge/ Supervisor</t>
  </si>
  <si>
    <t>Location</t>
  </si>
  <si>
    <t>Test Points</t>
  </si>
  <si>
    <t>Equivalent Force</t>
  </si>
  <si>
    <t>Remarks</t>
  </si>
  <si>
    <t>Range                                   :</t>
  </si>
  <si>
    <t>Capacity                               :</t>
  </si>
  <si>
    <t>Resolution                           :</t>
  </si>
  <si>
    <t>Calibrator/ Analyst</t>
  </si>
  <si>
    <t>Calibration Item       :</t>
  </si>
  <si>
    <t>Req. Reference No.  :</t>
  </si>
  <si>
    <t>Date of Calibration  :</t>
  </si>
  <si>
    <t>Equipment Photo:</t>
  </si>
  <si>
    <t>Photo 1</t>
  </si>
  <si>
    <t>Photo 2</t>
  </si>
  <si>
    <t>Calibrator Tools        :</t>
  </si>
  <si>
    <t>please input above the preparations and other pertinent details for the calibrators to remember before starting</t>
  </si>
  <si>
    <t>Standards Used</t>
  </si>
  <si>
    <t>Class</t>
  </si>
  <si>
    <t xml:space="preserve">Special Instructions &amp; Remarks : </t>
  </si>
  <si>
    <t>Remarks:</t>
  </si>
  <si>
    <t>Serial No.</t>
  </si>
  <si>
    <t>Force Transducer Information</t>
  </si>
  <si>
    <t>2000 kN</t>
  </si>
  <si>
    <t>500 kN</t>
  </si>
  <si>
    <t>10 kN</t>
  </si>
  <si>
    <t>2 kN</t>
  </si>
  <si>
    <t>20 kN</t>
  </si>
  <si>
    <t>100 kN</t>
  </si>
  <si>
    <t>200 kN</t>
  </si>
  <si>
    <t>2 MN</t>
  </si>
  <si>
    <t>Calibration Mode</t>
  </si>
  <si>
    <t>HBM/Z4A (20kN)</t>
  </si>
  <si>
    <t>HBM/Z4A (100kN)</t>
  </si>
  <si>
    <t>Axle Weighing Scale</t>
  </si>
  <si>
    <t xml:space="preserve">     CALIBRATION CERTIFICATE</t>
  </si>
  <si>
    <t>:</t>
  </si>
  <si>
    <t>Measurement Range</t>
  </si>
  <si>
    <t>Customer</t>
  </si>
  <si>
    <t>MEASUREMENT RESULTS:</t>
  </si>
  <si>
    <t>UNCERTAINTY OF MEASUREMENT:</t>
  </si>
  <si>
    <t>Page 1 of 2</t>
  </si>
  <si>
    <t>STANDARD USED :</t>
  </si>
  <si>
    <t>Make/Model</t>
  </si>
  <si>
    <t>Calibration Certificate No.</t>
  </si>
  <si>
    <t>Traceable to SI through KRISS - Korea</t>
  </si>
  <si>
    <t>CALIBRATION PROCEDURE:</t>
  </si>
  <si>
    <t>ENVIRONMENTAL CONDITIONS:</t>
  </si>
  <si>
    <t>REMARKS:</t>
  </si>
  <si>
    <t>-</t>
  </si>
  <si>
    <t>AHDRIAN CAMILO C. GERNALE</t>
  </si>
  <si>
    <t>Science Research Specialist I</t>
  </si>
  <si>
    <t>For the Chief, National Metrology Laboratory</t>
  </si>
  <si>
    <t>RADLEY F. MANALO</t>
  </si>
  <si>
    <t>Section Head</t>
  </si>
  <si>
    <t xml:space="preserve"> Page 2 of 2</t>
  </si>
  <si>
    <t>Address Line 1         :</t>
  </si>
  <si>
    <t>Address Line 2         :</t>
  </si>
  <si>
    <t>Requesting Official  :</t>
  </si>
  <si>
    <t>Position                    :</t>
  </si>
  <si>
    <t>Name/Company      :</t>
  </si>
  <si>
    <t>The above results were those obtained at the time of calibration and refer only to the testing machine calibrated.</t>
  </si>
  <si>
    <t>No adjustment was performed on the testing machine. The user should determine suitability of the testing machine for its intended use.</t>
  </si>
  <si>
    <t>Place of Calibration           :</t>
  </si>
  <si>
    <t xml:space="preserve">The testing machine under calibration was subjected to specified force values which were applied on the force-proving instrument and readings were noted.
</t>
  </si>
  <si>
    <t>Person in Charge               :</t>
  </si>
  <si>
    <t>Analyst/Calibrator            :</t>
  </si>
  <si>
    <t>Box Compression Machine</t>
  </si>
  <si>
    <t>Types of Machine</t>
  </si>
  <si>
    <t>Increment</t>
  </si>
  <si>
    <t xml:space="preserve">            :</t>
  </si>
  <si>
    <t>Form No. F5.5.2</t>
  </si>
  <si>
    <r>
      <t xml:space="preserve">Version 2   Page </t>
    </r>
    <r>
      <rPr>
        <sz val="10"/>
        <rFont val="Arial"/>
        <family val="2"/>
      </rPr>
      <t>1 of 1</t>
    </r>
  </si>
  <si>
    <t>CALIBRATION RECORD</t>
  </si>
  <si>
    <t>(Use as first page of Data Sheet for any calibration or measurement work performed.)</t>
  </si>
  <si>
    <t>Request Reference No.:</t>
  </si>
  <si>
    <t>Instrument:</t>
  </si>
  <si>
    <t>Make / Model No.</t>
  </si>
  <si>
    <t>Customer:</t>
  </si>
  <si>
    <t>Calibration Procedure:</t>
  </si>
  <si>
    <t>Date of Calibration:</t>
  </si>
  <si>
    <t xml:space="preserve">Calibrated by: </t>
  </si>
  <si>
    <t>Standards and Equipment Used:</t>
  </si>
  <si>
    <t>Make / 
Model No.</t>
  </si>
  <si>
    <t>Date of Next Calibration</t>
  </si>
  <si>
    <t>Thermohygrometer</t>
  </si>
  <si>
    <t>TandD/TR-73U</t>
  </si>
  <si>
    <t>104-104</t>
  </si>
  <si>
    <t>Checked by:</t>
  </si>
  <si>
    <t xml:space="preserve"> </t>
  </si>
  <si>
    <t>ISO 7500/1</t>
  </si>
  <si>
    <t>Universal Testing Machine</t>
  </si>
  <si>
    <t>Ring Crush Testing Machine</t>
  </si>
  <si>
    <t>Edge Crush Testing Machine</t>
  </si>
  <si>
    <t>Compression Testing Machine</t>
  </si>
  <si>
    <t>Certificate No.</t>
  </si>
  <si>
    <t>Calibration  Date:</t>
  </si>
  <si>
    <t>Client Name:</t>
  </si>
  <si>
    <t>Calibration Item:</t>
  </si>
  <si>
    <t>Client Address:</t>
  </si>
  <si>
    <t>Model Code/No:</t>
  </si>
  <si>
    <t>Serial No/ ID No.</t>
  </si>
  <si>
    <t>Calibration Mode:</t>
  </si>
  <si>
    <t>Machine Capacity:</t>
  </si>
  <si>
    <t>Calibration Range:</t>
  </si>
  <si>
    <t>1. Preloading</t>
  </si>
  <si>
    <t>Indicated Force</t>
  </si>
  <si>
    <t>Load          1st (0˚)</t>
  </si>
  <si>
    <t>Load              3rd (240˚)</t>
  </si>
  <si>
    <t>Load            2nd (120˚)</t>
  </si>
  <si>
    <t>RAW DATA CALCULATION</t>
  </si>
  <si>
    <t>2. Linear Interpolation (of reference force deflection)</t>
  </si>
  <si>
    <t>Load Value</t>
  </si>
  <si>
    <t>1st (0˚)</t>
  </si>
  <si>
    <t>2nd (120˚)</t>
  </si>
  <si>
    <t>3rd (240˚)</t>
  </si>
  <si>
    <t>Mean Value</t>
  </si>
  <si>
    <t>Force                                           (kN)</t>
  </si>
  <si>
    <t>Load Value (kN)</t>
  </si>
  <si>
    <t>a'</t>
  </si>
  <si>
    <t>b'</t>
  </si>
  <si>
    <t>c'</t>
  </si>
  <si>
    <t>Reference Standard Used:</t>
  </si>
  <si>
    <t>FORCE MEASUREMENT DATA</t>
  </si>
  <si>
    <t>Ver. 2 Rev.0 Mar 12, 2019</t>
  </si>
  <si>
    <t>Temp.:</t>
  </si>
  <si>
    <t>Humidity:</t>
  </si>
  <si>
    <t>Temp:</t>
  </si>
  <si>
    <t>Before</t>
  </si>
  <si>
    <t>After</t>
  </si>
  <si>
    <t>Guide on how to use this data entry system:</t>
  </si>
  <si>
    <t>1. Select the radio button of the machine indicator unit (kgf, lbf, N, kN).</t>
  </si>
  <si>
    <t>2. After capturing the digital amplifier's reading, change the machine indication accordingly.</t>
  </si>
  <si>
    <t>3. Upon completion of each loading set, press the corresponding PRINT button. Make sure you have</t>
  </si>
  <si>
    <t xml:space="preserve">    change first the machine indication reading upon capturing.</t>
  </si>
  <si>
    <t xml:space="preserve">      Excitation:   5.0 V Meas. Range: 2.5 mV/V</t>
  </si>
  <si>
    <t>original developer: manuelmruiz@yahoo.com</t>
  </si>
  <si>
    <r>
      <t xml:space="preserve">revised &amp; developed by: gearnhale@yahoo.com </t>
    </r>
    <r>
      <rPr>
        <i/>
        <sz val="10"/>
        <rFont val="Calibri"/>
        <family val="2"/>
        <scheme val="minor"/>
      </rPr>
      <t xml:space="preserve">according to ISO </t>
    </r>
  </si>
  <si>
    <t xml:space="preserve">revised &amp; developed by: gearnhale@yahoo.com according to ISO </t>
  </si>
  <si>
    <t>Net Value (dij) &amp; Mean (di) Calculation</t>
  </si>
  <si>
    <t>Equivalent Force (kN)</t>
  </si>
  <si>
    <t xml:space="preserve">Machine Indication </t>
  </si>
  <si>
    <t xml:space="preserve">3. Estimation of reference force </t>
  </si>
  <si>
    <t>Relative Expanded Uncertainty</t>
  </si>
  <si>
    <t>Resolution testing machine</t>
  </si>
  <si>
    <t>Sensitivity on temp</t>
  </si>
  <si>
    <t>Temp Diff.</t>
  </si>
  <si>
    <t>Drift Sens.</t>
  </si>
  <si>
    <t>Effective degree of freedom</t>
    <phoneticPr fontId="3" type="noConversion"/>
  </si>
  <si>
    <t>coverage factor           (k)</t>
    <phoneticPr fontId="3" type="noConversion"/>
  </si>
  <si>
    <t>Relative standard uncertainty of force measuring instrument wstd</t>
  </si>
  <si>
    <r>
      <t>Relative uncertainty by reproducibility (w</t>
    </r>
    <r>
      <rPr>
        <vertAlign val="subscript"/>
        <sz val="9"/>
        <color indexed="8"/>
        <rFont val="Calibri"/>
        <family val="2"/>
        <scheme val="minor"/>
      </rPr>
      <t>rep,i</t>
    </r>
    <r>
      <rPr>
        <sz val="9"/>
        <color indexed="8"/>
        <rFont val="Calibri"/>
        <family val="2"/>
        <scheme val="minor"/>
      </rPr>
      <t>)</t>
    </r>
  </si>
  <si>
    <r>
      <t>Relative uncertainty due to resolution  (w</t>
    </r>
    <r>
      <rPr>
        <vertAlign val="subscript"/>
        <sz val="9"/>
        <color indexed="8"/>
        <rFont val="Calibri"/>
        <family val="2"/>
        <scheme val="minor"/>
      </rPr>
      <t>res,i</t>
    </r>
    <r>
      <rPr>
        <sz val="9"/>
        <color indexed="8"/>
        <rFont val="Calibri"/>
        <family val="2"/>
        <scheme val="minor"/>
      </rPr>
      <t>)</t>
    </r>
  </si>
  <si>
    <r>
      <t>Calibration uncertainty (w</t>
    </r>
    <r>
      <rPr>
        <vertAlign val="subscript"/>
        <sz val="9"/>
        <color indexed="8"/>
        <rFont val="Calibri"/>
        <family val="2"/>
        <scheme val="minor"/>
      </rPr>
      <t>stdc</t>
    </r>
    <r>
      <rPr>
        <sz val="9"/>
        <color indexed="8"/>
        <rFont val="Calibri"/>
        <family val="2"/>
        <scheme val="minor"/>
      </rPr>
      <t>)</t>
    </r>
  </si>
  <si>
    <r>
      <t>Uncertainty due to temperature difference (w</t>
    </r>
    <r>
      <rPr>
        <vertAlign val="subscript"/>
        <sz val="9"/>
        <color indexed="8"/>
        <rFont val="Calibri"/>
        <family val="2"/>
        <scheme val="minor"/>
      </rPr>
      <t>temp'</t>
    </r>
    <r>
      <rPr>
        <sz val="9"/>
        <color indexed="8"/>
        <rFont val="Calibri"/>
        <family val="2"/>
        <scheme val="minor"/>
      </rPr>
      <t>)</t>
    </r>
  </si>
  <si>
    <r>
      <t>Uncertainty due to sensitivity drift (w</t>
    </r>
    <r>
      <rPr>
        <vertAlign val="subscript"/>
        <sz val="9"/>
        <color indexed="8"/>
        <rFont val="Calibri"/>
        <family val="2"/>
        <scheme val="minor"/>
      </rPr>
      <t>drift</t>
    </r>
    <r>
      <rPr>
        <sz val="9"/>
        <color indexed="8"/>
        <rFont val="Calibri"/>
        <family val="2"/>
        <scheme val="minor"/>
      </rPr>
      <t>)</t>
    </r>
  </si>
  <si>
    <r>
      <t>Relative expanded uncertainty  (W</t>
    </r>
    <r>
      <rPr>
        <vertAlign val="subscript"/>
        <sz val="9"/>
        <color indexed="8"/>
        <rFont val="Calibri"/>
        <family val="2"/>
        <scheme val="minor"/>
      </rPr>
      <t>i</t>
    </r>
    <r>
      <rPr>
        <sz val="9"/>
        <color indexed="8"/>
        <rFont val="Calibri"/>
        <family val="2"/>
        <scheme val="minor"/>
      </rPr>
      <t>)</t>
    </r>
  </si>
  <si>
    <r>
      <t>Relative zero error f</t>
    </r>
    <r>
      <rPr>
        <vertAlign val="subscript"/>
        <sz val="11"/>
        <color indexed="8"/>
        <rFont val="돋움"/>
        <family val="3"/>
        <charset val="129"/>
      </rPr>
      <t>0</t>
    </r>
  </si>
  <si>
    <t xml:space="preserve">Max Zero </t>
  </si>
  <si>
    <t>=</t>
  </si>
  <si>
    <t xml:space="preserve">Relative Expanded Uncertainty </t>
  </si>
  <si>
    <t>%</t>
  </si>
  <si>
    <t xml:space="preserve">Relative Accuracy Error </t>
  </si>
  <si>
    <t>Relative Repeatability Error</t>
  </si>
  <si>
    <t>Refer to the "Calibration Results" on the next page(s).</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</si>
  <si>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 The value of the measurand lies within the assigned range of values with a probability of  approximately 95%.</t>
    </r>
  </si>
  <si>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</si>
  <si>
    <t>Science Research Specialist II</t>
  </si>
  <si>
    <t>MARYNESS I. SALAZAR</t>
  </si>
  <si>
    <t>CALIBRATION RESULTS</t>
  </si>
  <si>
    <t>Compression</t>
  </si>
  <si>
    <t>The relevant method for this calibration is ISO 7500-1:2018, Metallic materials – Verification of static uniaxial testing machines.</t>
  </si>
  <si>
    <t>Class</t>
    <phoneticPr fontId="3" type="noConversion"/>
  </si>
  <si>
    <t>Lower Limit of calibration range</t>
  </si>
  <si>
    <r>
      <t>Relative accuracy error q</t>
    </r>
    <r>
      <rPr>
        <vertAlign val="subscript"/>
        <sz val="9"/>
        <rFont val="Calibri"/>
        <family val="2"/>
        <scheme val="minor"/>
      </rPr>
      <t>i</t>
    </r>
  </si>
  <si>
    <r>
      <t>Relative repeatability error b</t>
    </r>
    <r>
      <rPr>
        <vertAlign val="subscript"/>
        <sz val="9"/>
        <rFont val="Calibri"/>
        <family val="2"/>
        <scheme val="minor"/>
      </rPr>
      <t>i</t>
    </r>
  </si>
  <si>
    <r>
      <t>Relative zero error f</t>
    </r>
    <r>
      <rPr>
        <vertAlign val="subscript"/>
        <sz val="9"/>
        <rFont val="Calibri"/>
        <family val="2"/>
        <scheme val="minor"/>
      </rPr>
      <t>0</t>
    </r>
  </si>
  <si>
    <t>Relative uncertainty of force measuring instrument
상대불확도</t>
  </si>
  <si>
    <r>
      <t>Relative rep error b</t>
    </r>
    <r>
      <rPr>
        <vertAlign val="subscript"/>
        <sz val="11"/>
        <color indexed="8"/>
        <rFont val="돋움"/>
        <family val="3"/>
        <charset val="129"/>
      </rPr>
      <t>i</t>
    </r>
  </si>
  <si>
    <r>
      <t>Relative accu error q</t>
    </r>
    <r>
      <rPr>
        <vertAlign val="subscript"/>
        <sz val="9"/>
        <color indexed="8"/>
        <rFont val="Calibri"/>
        <family val="2"/>
        <scheme val="minor"/>
      </rPr>
      <t>i</t>
    </r>
  </si>
  <si>
    <t xml:space="preserve">      Meas.   Filt: 0.90 Hz Be  AutoCal: Off  LV:1=0,2=0,3=0,4=0</t>
  </si>
  <si>
    <t>Tensile Testing Machine</t>
  </si>
  <si>
    <t xml:space="preserve">      1.1  1.1-DMP40      0.078086 mV/V  abs     13-Mar-19  13:04:56</t>
  </si>
  <si>
    <t xml:space="preserve">      1.1  1.1-DMP40     -0.082988 mV/V  abs     13-Mar-19  13:06:28</t>
  </si>
  <si>
    <t xml:space="preserve">      1.1  1.1-DMP40     -0.242682 mV/V  abs     13-Mar-19  13:06:55</t>
  </si>
  <si>
    <t xml:space="preserve">      1.1  1.1-DMP40     -0.403444 mV/V  abs     13-Mar-19  13:07:17</t>
  </si>
  <si>
    <t xml:space="preserve">      1.1  1.1-DMP40     -0.563466 mV/V  abs     13-Mar-19  13:08:12</t>
  </si>
  <si>
    <t xml:space="preserve">      1.1  1.1-DMP40     -0.723624 mV/V  abs     13-Mar-19  13:09:02</t>
  </si>
  <si>
    <t xml:space="preserve">      1.1  1.1-DMP40      0.077444 mV/V  abs     13-Mar-19  13:10:36</t>
  </si>
  <si>
    <t>The relevant reference document for this calibration is ISO 7500-1:2018, Metallic materials – Verification of static uniaxial testing machines.</t>
  </si>
  <si>
    <r>
      <t>Relative standard uncertainty (w</t>
    </r>
    <r>
      <rPr>
        <vertAlign val="subscript"/>
        <sz val="9"/>
        <color indexed="8"/>
        <rFont val="Calibri"/>
        <family val="2"/>
        <scheme val="minor"/>
      </rPr>
      <t>std</t>
    </r>
    <r>
      <rPr>
        <sz val="9"/>
        <color indexed="8"/>
        <rFont val="Calibri"/>
        <family val="2"/>
        <scheme val="minor"/>
      </rPr>
      <t>)</t>
    </r>
  </si>
  <si>
    <r>
      <t>Relative combined uncertainty (w</t>
    </r>
    <r>
      <rPr>
        <vertAlign val="subscript"/>
        <sz val="9"/>
        <color indexed="8"/>
        <rFont val="Calibri"/>
        <family val="2"/>
        <scheme val="minor"/>
      </rPr>
      <t>ci</t>
    </r>
    <r>
      <rPr>
        <sz val="9"/>
        <color indexed="8"/>
        <rFont val="Calibri"/>
        <family val="2"/>
        <scheme val="minor"/>
      </rPr>
      <t>)</t>
    </r>
  </si>
  <si>
    <t xml:space="preserve"> CALIBRATION DATA SHEET</t>
  </si>
  <si>
    <t>Customer Name:</t>
  </si>
  <si>
    <t>Address Line 1:</t>
  </si>
  <si>
    <t>Address Line 2:</t>
  </si>
  <si>
    <t>Mode:</t>
  </si>
  <si>
    <t>Request Ref. No.:</t>
  </si>
  <si>
    <t>Capacity:</t>
  </si>
  <si>
    <t>Range:</t>
  </si>
  <si>
    <t>Increment:</t>
  </si>
  <si>
    <t>Resolution:</t>
  </si>
  <si>
    <t>Indicated force</t>
  </si>
  <si>
    <t xml:space="preserve"> 2nd (120˚)</t>
  </si>
  <si>
    <t>Conversion Unit:</t>
  </si>
  <si>
    <t>Calibration Points</t>
  </si>
  <si>
    <t>Expected Machine Indication</t>
  </si>
  <si>
    <t>Mean Force</t>
  </si>
  <si>
    <t>Mean deflection</t>
  </si>
  <si>
    <t>Max Zero =</t>
  </si>
  <si>
    <t>3.) Force Transducer Information</t>
  </si>
  <si>
    <t>4.) Environmental Conditions:</t>
  </si>
  <si>
    <t>Thermo-hygrometer indication</t>
  </si>
  <si>
    <t>Calibrated by:</t>
  </si>
  <si>
    <t>RFM</t>
  </si>
  <si>
    <t>ACCG</t>
  </si>
  <si>
    <t>date:</t>
  </si>
  <si>
    <t>6.) Linear Interpolation</t>
  </si>
  <si>
    <t>7. Estimation of Reference Force</t>
  </si>
  <si>
    <t>Rel std unc of force measuring instrument wstd</t>
  </si>
  <si>
    <t>8.) Uncertainty Calculations</t>
  </si>
  <si>
    <r>
      <t>Relative uncertainty by rep (w</t>
    </r>
    <r>
      <rPr>
        <vertAlign val="subscript"/>
        <sz val="8"/>
        <color indexed="8"/>
        <rFont val="Calibri"/>
        <family val="2"/>
        <scheme val="minor"/>
      </rPr>
      <t>rep,i</t>
    </r>
    <r>
      <rPr>
        <sz val="8"/>
        <color indexed="8"/>
        <rFont val="Calibri"/>
        <family val="2"/>
        <scheme val="minor"/>
      </rPr>
      <t>)</t>
    </r>
  </si>
  <si>
    <r>
      <t>Rel unc due to res  (w</t>
    </r>
    <r>
      <rPr>
        <vertAlign val="subscript"/>
        <sz val="8"/>
        <color indexed="8"/>
        <rFont val="Calibri"/>
        <family val="2"/>
        <scheme val="minor"/>
      </rPr>
      <t>res,i</t>
    </r>
    <r>
      <rPr>
        <sz val="8"/>
        <color indexed="8"/>
        <rFont val="Calibri"/>
        <family val="2"/>
        <scheme val="minor"/>
      </rPr>
      <t>)</t>
    </r>
  </si>
  <si>
    <r>
      <t>Relative std uncertainty (w</t>
    </r>
    <r>
      <rPr>
        <vertAlign val="subscript"/>
        <sz val="8"/>
        <color indexed="8"/>
        <rFont val="Calibri"/>
        <family val="2"/>
        <scheme val="minor"/>
      </rPr>
      <t>std</t>
    </r>
    <r>
      <rPr>
        <sz val="8"/>
        <color indexed="8"/>
        <rFont val="Calibri"/>
        <family val="2"/>
        <scheme val="minor"/>
      </rPr>
      <t>)</t>
    </r>
  </si>
  <si>
    <r>
      <t>Relative combined unc (w</t>
    </r>
    <r>
      <rPr>
        <vertAlign val="subscript"/>
        <sz val="8"/>
        <color indexed="8"/>
        <rFont val="Calibri"/>
        <family val="2"/>
        <scheme val="minor"/>
      </rPr>
      <t>ci</t>
    </r>
    <r>
      <rPr>
        <sz val="8"/>
        <color indexed="8"/>
        <rFont val="Calibri"/>
        <family val="2"/>
        <scheme val="minor"/>
      </rPr>
      <t>)</t>
    </r>
  </si>
  <si>
    <r>
      <t>Relative expanded unc (W</t>
    </r>
    <r>
      <rPr>
        <vertAlign val="subscript"/>
        <sz val="8"/>
        <color indexed="8"/>
        <rFont val="Calibri"/>
        <family val="2"/>
        <scheme val="minor"/>
      </rPr>
      <t>i</t>
    </r>
    <r>
      <rPr>
        <sz val="8"/>
        <color indexed="8"/>
        <rFont val="Calibri"/>
        <family val="2"/>
        <scheme val="minor"/>
      </rPr>
      <t>)</t>
    </r>
  </si>
  <si>
    <r>
      <t>Relative accu error q</t>
    </r>
    <r>
      <rPr>
        <vertAlign val="subscript"/>
        <sz val="8"/>
        <color indexed="8"/>
        <rFont val="Calibri"/>
        <family val="2"/>
        <scheme val="minor"/>
      </rPr>
      <t>i</t>
    </r>
  </si>
  <si>
    <r>
      <t>Relative rep error b</t>
    </r>
    <r>
      <rPr>
        <vertAlign val="subscript"/>
        <sz val="8"/>
        <color indexed="8"/>
        <rFont val="돋움"/>
        <family val="3"/>
        <charset val="129"/>
      </rPr>
      <t>i</t>
    </r>
  </si>
  <si>
    <r>
      <t>Relative zero error f</t>
    </r>
    <r>
      <rPr>
        <vertAlign val="subscript"/>
        <sz val="8"/>
        <color indexed="8"/>
        <rFont val="돋움"/>
        <family val="3"/>
        <charset val="129"/>
      </rPr>
      <t>0</t>
    </r>
  </si>
  <si>
    <r>
      <t>Calibration uncertainty (w</t>
    </r>
    <r>
      <rPr>
        <vertAlign val="subscript"/>
        <sz val="8"/>
        <color indexed="8"/>
        <rFont val="Calibri"/>
        <family val="2"/>
        <scheme val="minor"/>
      </rPr>
      <t>stdc</t>
    </r>
    <r>
      <rPr>
        <sz val="8"/>
        <color indexed="8"/>
        <rFont val="Calibri"/>
        <family val="2"/>
        <scheme val="minor"/>
      </rPr>
      <t>)</t>
    </r>
  </si>
  <si>
    <r>
      <t>Uncertainty due to temp dif (w</t>
    </r>
    <r>
      <rPr>
        <vertAlign val="subscript"/>
        <sz val="8"/>
        <color indexed="8"/>
        <rFont val="Calibri"/>
        <family val="2"/>
        <scheme val="minor"/>
      </rPr>
      <t>temp'</t>
    </r>
    <r>
      <rPr>
        <sz val="8"/>
        <color indexed="8"/>
        <rFont val="Calibri"/>
        <family val="2"/>
        <scheme val="minor"/>
      </rPr>
      <t>)</t>
    </r>
  </si>
  <si>
    <r>
      <t>Uncertainty due to sen drift (w</t>
    </r>
    <r>
      <rPr>
        <vertAlign val="subscript"/>
        <sz val="8"/>
        <color indexed="8"/>
        <rFont val="Calibri"/>
        <family val="2"/>
        <scheme val="minor"/>
      </rPr>
      <t>drift</t>
    </r>
    <r>
      <rPr>
        <sz val="8"/>
        <color indexed="8"/>
        <rFont val="Calibri"/>
        <family val="2"/>
        <scheme val="minor"/>
      </rPr>
      <t>)</t>
    </r>
  </si>
  <si>
    <t xml:space="preserve">Relative uncertainty of force measuring instrument
</t>
  </si>
  <si>
    <t>temp sens.</t>
  </si>
  <si>
    <t>Error Estimation, in %</t>
  </si>
  <si>
    <t xml:space="preserve">       Make / Model No.:</t>
  </si>
  <si>
    <t xml:space="preserve">       Serial No. / ID No.:</t>
  </si>
  <si>
    <t xml:space="preserve">   Indicator</t>
  </si>
  <si>
    <t xml:space="preserve">   Load Cell</t>
  </si>
  <si>
    <t>Indicator Info</t>
  </si>
  <si>
    <t>Force Transducer Info</t>
  </si>
  <si>
    <t>Radley F. Manalo</t>
  </si>
  <si>
    <t>Ahdrian Camilo C. Gernale</t>
  </si>
  <si>
    <t>Position</t>
  </si>
  <si>
    <t>Name</t>
  </si>
  <si>
    <t>Maryness I. Salazar</t>
  </si>
  <si>
    <t xml:space="preserve">  0.078086 mV/V  abs     13-Mar-19  13:04:56</t>
  </si>
  <si>
    <t>- -</t>
  </si>
  <si>
    <t xml:space="preserve">- - </t>
  </si>
  <si>
    <t xml:space="preserve"> -0.082988 mV/V  abs     13-Mar-19  13:06:28</t>
  </si>
  <si>
    <t xml:space="preserve">  0.077444 mV/V  abs     13-Mar-19  13:10:36</t>
  </si>
  <si>
    <t>Pre-Load 2</t>
  </si>
  <si>
    <t>Pre-Load 3</t>
  </si>
  <si>
    <t>Series 1</t>
  </si>
  <si>
    <t xml:space="preserve"> -0.242682 mV/V  abs     13-Mar-19  13:06:55</t>
  </si>
  <si>
    <t xml:space="preserve"> -0.403444 mV/V  abs     13-Mar-19  13:07:17</t>
  </si>
  <si>
    <t xml:space="preserve"> -0.563466 mV/V  abs     13-Mar-19  13:08:12</t>
  </si>
  <si>
    <t xml:space="preserve"> -0.723624 mV/V  abs     13-Mar-19  13:09:02</t>
  </si>
  <si>
    <t>Series 2</t>
  </si>
  <si>
    <t>Series 3</t>
  </si>
  <si>
    <t xml:space="preserve"> 2nd</t>
  </si>
  <si>
    <t>Force Standards Laboratory, NML ITDI</t>
  </si>
  <si>
    <t>Calibration Type       :</t>
  </si>
  <si>
    <t>equalsVLOOKUP($E$36,Table1,H36,FALSE)</t>
  </si>
  <si>
    <t>equalsVLOOKUP($E$36,Table1,H37,FALSE)</t>
  </si>
  <si>
    <t>equalsVLOOKUP($E$36,Table1,H38,FALSE)</t>
  </si>
  <si>
    <t>equalsVLOOKUP($E$36,Table1,H39,FALSE)</t>
  </si>
  <si>
    <t>1251056K0094</t>
  </si>
  <si>
    <t>Unit</t>
  </si>
  <si>
    <t>kg</t>
  </si>
  <si>
    <t>lbf</t>
  </si>
  <si>
    <t>tonf</t>
  </si>
  <si>
    <t>n</t>
  </si>
  <si>
    <t>equivalence to kN</t>
  </si>
  <si>
    <t>ton</t>
  </si>
  <si>
    <t>Load Cell Type          :</t>
  </si>
  <si>
    <t>No</t>
  </si>
  <si>
    <t>Shimadzu/ UH-F1000kNX</t>
  </si>
  <si>
    <t>working standard (UTM)</t>
  </si>
  <si>
    <t>Force Measuring Instrument</t>
  </si>
  <si>
    <t>Glenn Joseph C. Franes</t>
  </si>
  <si>
    <t>1000 kN</t>
  </si>
  <si>
    <t>11-2020-FORC-0116</t>
  </si>
  <si>
    <t>Pierre Jordan M. Mendoza</t>
  </si>
  <si>
    <t>Traceable to the SI through NMD-ITDI</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</si>
  <si>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The value of the measurand lies within the assigned range of values with a probability of  approximately 95%.</t>
    </r>
  </si>
  <si>
    <t>-End of Report-</t>
  </si>
  <si>
    <t>Relative 
Expanded Uncertainty</t>
  </si>
  <si>
    <t>Relative 
Accuracy 
Error</t>
  </si>
  <si>
    <t>Senior Science Research Specialist</t>
  </si>
  <si>
    <t>02-2025-FORC-0072</t>
  </si>
  <si>
    <t>SAVVICE CORPORATION</t>
  </si>
  <si>
    <t>3rd Floor BMWC Bldg., Cagayan Valley Road</t>
  </si>
  <si>
    <t>Sta. Rita, Guiginto, Bulacan</t>
  </si>
  <si>
    <t>Ramil F. De Luna</t>
  </si>
  <si>
    <t>Technician</t>
  </si>
  <si>
    <t>LS 630 W. PAD</t>
  </si>
  <si>
    <t>INTERCOMP PT20</t>
  </si>
  <si>
    <r>
      <t xml:space="preserve">Applied
Force                     </t>
    </r>
    <r>
      <rPr>
        <sz val="8"/>
        <color rgb="FF000000"/>
        <rFont val="Times New Roman"/>
        <family val="1"/>
      </rPr>
      <t xml:space="preserve"> </t>
    </r>
    <r>
      <rPr>
        <i/>
        <sz val="8"/>
        <color rgb="FF000000"/>
        <rFont val="Times New Roman"/>
        <family val="1"/>
      </rPr>
      <t xml:space="preserve"> (F std )  </t>
    </r>
  </si>
  <si>
    <r>
      <t xml:space="preserve">Indicated
Force               </t>
    </r>
    <r>
      <rPr>
        <sz val="8"/>
        <color rgb="FF000000"/>
        <rFont val="Times New Roman"/>
        <family val="1"/>
      </rPr>
      <t xml:space="preserve">      </t>
    </r>
    <r>
      <rPr>
        <i/>
        <sz val="8"/>
        <color rgb="FF000000"/>
        <rFont val="Times New Roman"/>
        <family val="1"/>
      </rPr>
      <t xml:space="preserve"> (F ind</t>
    </r>
    <r>
      <rPr>
        <sz val="8"/>
        <color rgb="FF000000"/>
        <rFont val="Times New Roman"/>
        <family val="1"/>
      </rPr>
      <t>)</t>
    </r>
  </si>
  <si>
    <r>
      <t xml:space="preserve">
Deviation
</t>
    </r>
    <r>
      <rPr>
        <i/>
        <sz val="8"/>
        <color rgb="FF000000"/>
        <rFont val="Times New Roman"/>
        <family val="1"/>
      </rPr>
      <t>(F ind - F std)</t>
    </r>
    <r>
      <rPr>
        <sz val="8"/>
        <color rgb="FF000000"/>
        <rFont val="Times New Roman"/>
        <family val="1"/>
      </rPr>
      <t xml:space="preserve">
</t>
    </r>
  </si>
  <si>
    <t>The axle weighing scale was subjected to specified force values in comparison with force reference  standard values. Three (3) series of increasing force values were applied to the axle weighing scale.</t>
  </si>
  <si>
    <t>The relevant references for this axle weighing scale calibration are the ISO 7500-1:2018 "Metallic materials-Calibration and verification of static uniaxial testing machine'' and TP-PFSS-F-FORC-02: (version 1) "Calibration of Axle Weighing Scales" .</t>
  </si>
  <si>
    <t>03-2026-FORC-0087</t>
  </si>
  <si>
    <t>0122YL21002</t>
  </si>
  <si>
    <t>0307YM23003</t>
  </si>
  <si>
    <t>Dynamic Unit Test Conv</t>
  </si>
  <si>
    <t>100 tf</t>
  </si>
  <si>
    <t>2.) PRE-LOADING DATA, tf</t>
  </si>
  <si>
    <t>3.) MEASURED DATA, tf</t>
  </si>
  <si>
    <t>Target (tf)</t>
  </si>
  <si>
    <t>Mean Force (tf)</t>
  </si>
  <si>
    <t>5.) Net value (dij) &amp; Mean Value (di) Calculation, units in tf</t>
  </si>
  <si>
    <t>Force                                  (tf)</t>
  </si>
  <si>
    <t>Force (tf)</t>
  </si>
  <si>
    <t>Force 1 (tf)</t>
  </si>
  <si>
    <t>Force 2 (tf)</t>
  </si>
  <si>
    <t>Force 3 (tf)</t>
  </si>
  <si>
    <t xml:space="preserve">1 tf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</si>
</sst>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_);_(@_)"/>
    <numFmt numFmtId="165" formatCode="0.000000"/>
    <numFmt numFmtId="166" formatCode="0.000000E+00"/>
    <numFmt numFmtId="167" formatCode="0.000"/>
    <numFmt numFmtId="168" formatCode="0.0"/>
    <numFmt numFmtId="169" formatCode="[$-F800]dddd\,\ mmmm\ dd\,\ yyyy"/>
    <numFmt numFmtId="170" formatCode="[$-409]dd\ mmmm\ yyyy"/>
    <numFmt numFmtId="171" formatCode="[$-3409]dddd\,\ mmmm\ dd\,\ yyyy;@"/>
    <numFmt numFmtId="172" formatCode="[$-3409]mmmm\ dd\,\ yyyy;@"/>
    <numFmt numFmtId="173" formatCode="[$-3409]dd\ mmmm\,\ yyyy;@"/>
    <numFmt numFmtId="174" formatCode="dd\ mmmm\ yyyy"/>
    <numFmt numFmtId="175" formatCode="#.0&quot; ℃&quot;"/>
    <numFmt numFmtId="176" formatCode="0.00000"/>
    <numFmt numFmtId="177" formatCode="#&quot; ℃&quot;"/>
    <numFmt numFmtId="178" formatCode="0.0000"/>
    <numFmt numFmtId="179" formatCode="0.00000000"/>
    <numFmt numFmtId="180" formatCode="0.0000000000"/>
    <numFmt numFmtId="181" formatCode="###\ ###"/>
    <numFmt numFmtId="182" formatCode="yyyy\-mm\-dd;@"/>
  </numFmts>
  <fonts count="91" x14ac:knownFonts="1">
    <font>
      <sz val="11"/>
      <color theme="1"/>
      <name val="Calibri"/>
      <family val="2"/>
      <scheme val="minor"/>
    </font>
    <font>
      <sz val="10"/>
      <name val="Arial"/>
      <family val="2"/>
    </font>
    <font>
      <sz val="11"/>
      <name val="Calibri"/>
      <family val="2"/>
      <scheme val="minor"/>
    </font>
    <font>
      <b/>
      <sz val="11"/>
      <name val="Calibri"/>
      <family val="2"/>
      <scheme val="minor"/>
    </font>
    <font>
      <sz val="11"/>
      <color theme="0" tint="-0.14999847407452621"/>
      <name val="Calibri"/>
      <family val="2"/>
      <scheme val="minor"/>
    </font>
    <font>
      <sz val="10"/>
      <color theme="1"/>
      <name val="Calibri"/>
      <family val="2"/>
      <scheme val="minor"/>
    </font>
    <font>
      <b/>
      <u/>
      <sz val="12"/>
      <color theme="1"/>
      <name val="Calibri"/>
      <family val="2"/>
      <scheme val="minor"/>
    </font>
    <font>
      <b/>
      <sz val="16"/>
      <color rgb="FF000099"/>
      <name val="Calibri"/>
      <family val="2"/>
      <scheme val="minor"/>
    </font>
    <font>
      <u/>
      <sz val="11"/>
      <color theme="10"/>
      <name val="Calibri"/>
      <family val="2"/>
    </font>
    <font>
      <sz val="10"/>
      <name val="Calibri"/>
      <family val="2"/>
      <scheme val="minor"/>
    </font>
    <font>
      <u/>
      <sz val="10"/>
      <name val="Calibri"/>
      <family val="2"/>
    </font>
    <font>
      <b/>
      <sz val="12"/>
      <color rgb="FF000099"/>
      <name val="Calibri"/>
      <family val="2"/>
      <scheme val="minor"/>
    </font>
    <font>
      <b/>
      <sz val="20"/>
      <color rgb="FFFF0000"/>
      <name val="Calibri"/>
      <family val="2"/>
      <scheme val="minor"/>
    </font>
    <font>
      <sz val="8"/>
      <color rgb="FF000000"/>
      <name val="Tahoma"/>
      <family val="2"/>
    </font>
    <font>
      <sz val="12"/>
      <color theme="1"/>
      <name val="Times New Roman"/>
      <family val="1"/>
    </font>
    <font>
      <sz val="14"/>
      <color theme="1"/>
      <name val="Times New Roman"/>
      <family val="1"/>
    </font>
    <font>
      <sz val="8"/>
      <color theme="1"/>
      <name val="Times New Roman"/>
      <family val="1"/>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
      <i/>
      <sz val="11"/>
      <color theme="1"/>
      <name val="Calibri"/>
      <family val="2"/>
      <scheme val="minor"/>
    </font>
    <font>
      <sz val="8"/>
      <color rgb="FFC00000"/>
      <name val="Calibri"/>
      <family val="2"/>
      <scheme val="minor"/>
    </font>
    <font>
      <sz val="11"/>
      <color rgb="FFC00000"/>
      <name val="Calibri"/>
      <family val="2"/>
      <scheme val="minor"/>
    </font>
    <font>
      <b/>
      <i/>
      <sz val="8"/>
      <color rgb="FFC00000"/>
      <name val="Calibri"/>
      <family val="2"/>
      <scheme val="minor"/>
    </font>
    <font>
      <b/>
      <sz val="14"/>
      <color theme="1"/>
      <name val="Times New Roman"/>
      <family val="1"/>
    </font>
    <font>
      <b/>
      <sz val="12"/>
      <color theme="1"/>
      <name val="Times New Roman"/>
      <family val="1"/>
    </font>
    <font>
      <b/>
      <sz val="15"/>
      <color theme="1"/>
      <name val="Times New Roman"/>
      <family val="1"/>
    </font>
    <font>
      <sz val="12"/>
      <color theme="1"/>
      <name val="Calibri"/>
      <family val="2"/>
      <scheme val="minor"/>
    </font>
    <font>
      <sz val="13"/>
      <color theme="1"/>
      <name val="Times New Roman"/>
      <family val="1"/>
    </font>
    <font>
      <sz val="12"/>
      <color rgb="FF000000"/>
      <name val="Times New Roman"/>
      <family val="1"/>
    </font>
    <font>
      <i/>
      <sz val="12"/>
      <color indexed="8"/>
      <name val="Times New Roman"/>
      <family val="1"/>
    </font>
    <font>
      <sz val="12"/>
      <color indexed="8"/>
      <name val="Times New Roman"/>
      <family val="1"/>
    </font>
    <font>
      <i/>
      <sz val="8"/>
      <color theme="1"/>
      <name val="Times New Roman"/>
      <family val="1"/>
    </font>
    <font>
      <sz val="12"/>
      <color theme="1"/>
      <name val="Symbol"/>
      <family val="1"/>
      <charset val="2"/>
    </font>
    <font>
      <sz val="8"/>
      <color theme="1"/>
      <name val="Calibri"/>
      <family val="2"/>
      <scheme val="minor"/>
    </font>
    <font>
      <b/>
      <sz val="9"/>
      <color indexed="81"/>
      <name val="Tahoma"/>
      <family val="2"/>
    </font>
    <font>
      <b/>
      <u/>
      <sz val="14"/>
      <color theme="1"/>
      <name val="Times New Roman"/>
      <family val="1"/>
    </font>
    <font>
      <sz val="10"/>
      <name val="Times New Roman"/>
      <family val="1"/>
    </font>
    <font>
      <b/>
      <u/>
      <sz val="12"/>
      <name val="Times New Roman"/>
      <family val="1"/>
    </font>
    <font>
      <i/>
      <sz val="12"/>
      <name val="Times New Roman"/>
      <family val="1"/>
    </font>
    <font>
      <sz val="12"/>
      <name val="Times New Roman"/>
      <family val="1"/>
    </font>
    <font>
      <sz val="9"/>
      <color theme="1"/>
      <name val="Calibri"/>
      <family val="2"/>
      <scheme val="minor"/>
    </font>
    <font>
      <i/>
      <u/>
      <sz val="8"/>
      <color theme="1"/>
      <name val="Calibri"/>
      <family val="2"/>
      <scheme val="minor"/>
    </font>
    <font>
      <sz val="12"/>
      <name val="Calibri"/>
      <family val="2"/>
      <scheme val="minor"/>
    </font>
    <font>
      <sz val="12"/>
      <name val="Arial"/>
      <family val="2"/>
    </font>
    <font>
      <sz val="9"/>
      <name val="Calibri"/>
      <family val="2"/>
      <scheme val="minor"/>
    </font>
    <font>
      <sz val="9"/>
      <color rgb="FFFF0000"/>
      <name val="Calibri"/>
      <family val="2"/>
      <scheme val="minor"/>
    </font>
    <font>
      <b/>
      <sz val="11"/>
      <color rgb="FF000099"/>
      <name val="Calibri"/>
      <family val="2"/>
      <scheme val="minor"/>
    </font>
    <font>
      <sz val="9"/>
      <name val="Arial"/>
      <family val="2"/>
    </font>
    <font>
      <sz val="9"/>
      <color rgb="FFFF0066"/>
      <name val="Calibri"/>
      <family val="2"/>
      <scheme val="minor"/>
    </font>
    <font>
      <sz val="8"/>
      <name val="Calibri"/>
      <family val="2"/>
    </font>
    <font>
      <b/>
      <sz val="8"/>
      <color rgb="FF000099"/>
      <name val="Calibri"/>
      <family val="2"/>
      <scheme val="minor"/>
    </font>
    <font>
      <sz val="10"/>
      <color theme="0"/>
      <name val="Calibri"/>
      <family val="2"/>
      <scheme val="minor"/>
    </font>
    <font>
      <b/>
      <u/>
      <sz val="10"/>
      <color theme="0"/>
      <name val="Calibri"/>
      <family val="2"/>
      <scheme val="minor"/>
    </font>
    <font>
      <sz val="8"/>
      <color rgb="FF000000"/>
      <name val="Segoe UI"/>
      <family val="2"/>
    </font>
    <font>
      <sz val="10"/>
      <name val="Calibri"/>
      <family val="2"/>
    </font>
    <font>
      <i/>
      <sz val="10"/>
      <name val="Calibri"/>
      <family val="2"/>
      <scheme val="minor"/>
    </font>
    <font>
      <i/>
      <sz val="9"/>
      <color theme="1"/>
      <name val="Calibri"/>
      <family val="2"/>
      <scheme val="minor"/>
    </font>
    <font>
      <i/>
      <sz val="12"/>
      <name val="Calibri"/>
      <family val="2"/>
      <scheme val="minor"/>
    </font>
    <font>
      <i/>
      <sz val="9"/>
      <name val="Calibri"/>
      <family val="2"/>
      <scheme val="minor"/>
    </font>
    <font>
      <sz val="9"/>
      <color indexed="8"/>
      <name val="Calibri"/>
      <family val="2"/>
      <scheme val="minor"/>
    </font>
    <font>
      <vertAlign val="subscript"/>
      <sz val="9"/>
      <color indexed="8"/>
      <name val="Calibri"/>
      <family val="2"/>
      <scheme val="minor"/>
    </font>
    <font>
      <vertAlign val="subscript"/>
      <sz val="11"/>
      <color indexed="8"/>
      <name val="돋움"/>
      <family val="3"/>
      <charset val="129"/>
    </font>
    <font>
      <vertAlign val="subscript"/>
      <sz val="9"/>
      <name val="Calibri"/>
      <family val="2"/>
      <scheme val="minor"/>
    </font>
    <font>
      <i/>
      <u/>
      <sz val="12"/>
      <color theme="1"/>
      <name val="Times New Roman"/>
      <family val="1"/>
    </font>
    <font>
      <i/>
      <sz val="12"/>
      <color theme="1"/>
      <name val="Times New Roman"/>
      <family val="1"/>
    </font>
    <font>
      <u/>
      <sz val="12"/>
      <color theme="1"/>
      <name val="Calibri"/>
      <family val="2"/>
      <scheme val="minor"/>
    </font>
    <font>
      <sz val="8"/>
      <name val="Calibri"/>
      <family val="2"/>
      <scheme val="minor"/>
    </font>
    <font>
      <sz val="9"/>
      <color theme="3"/>
      <name val="Calibri"/>
      <family val="2"/>
      <scheme val="minor"/>
    </font>
    <font>
      <sz val="8"/>
      <color indexed="8"/>
      <name val="Calibri"/>
      <family val="2"/>
      <scheme val="minor"/>
    </font>
    <font>
      <vertAlign val="subscript"/>
      <sz val="8"/>
      <color indexed="8"/>
      <name val="Calibri"/>
      <family val="2"/>
      <scheme val="minor"/>
    </font>
    <font>
      <vertAlign val="subscript"/>
      <sz val="8"/>
      <color indexed="8"/>
      <name val="돋움"/>
      <family val="3"/>
      <charset val="129"/>
    </font>
    <font>
      <sz val="8"/>
      <name val="Arial"/>
      <family val="2"/>
    </font>
    <font>
      <u/>
      <sz val="9"/>
      <color theme="1"/>
      <name val="Calibri"/>
      <family val="2"/>
      <scheme val="minor"/>
    </font>
    <font>
      <b/>
      <sz val="9"/>
      <color theme="1"/>
      <name val="Calibri"/>
      <family val="2"/>
      <scheme val="minor"/>
    </font>
    <font>
      <b/>
      <u/>
      <sz val="9"/>
      <color theme="1"/>
      <name val="Calibri"/>
      <family val="2"/>
      <scheme val="minor"/>
    </font>
    <font>
      <sz val="8"/>
      <color rgb="FFFF0000"/>
      <name val="Calibri"/>
      <family val="2"/>
      <scheme val="minor"/>
    </font>
    <font>
      <sz val="8"/>
      <color theme="3"/>
      <name val="Calibri"/>
      <family val="2"/>
      <scheme val="minor"/>
    </font>
    <font>
      <sz val="10"/>
      <color theme="1"/>
      <name val="Times New Roman"/>
      <family val="1"/>
    </font>
    <font>
      <b/>
      <sz val="11"/>
      <color rgb="FF800000"/>
      <name val="Calibri"/>
      <family val="2"/>
    </font>
    <font>
      <b/>
      <sz val="16"/>
      <color rgb="FF000080"/>
      <name val="Calibri"/>
      <family val="2"/>
    </font>
    <font>
      <b/>
      <sz val="16"/>
      <color rgb="FF008000"/>
      <name val="Calibri"/>
      <family val="2"/>
    </font>
    <font>
      <b/>
      <sz val="16"/>
      <color rgb="FFFF6600"/>
      <name val="Calibri"/>
      <family val="2"/>
    </font>
    <font>
      <b/>
      <sz val="14"/>
      <color rgb="FF000080"/>
      <name val="Calibri"/>
      <family val="2"/>
    </font>
    <font>
      <sz val="11"/>
      <color rgb="FF000000"/>
      <name val="Calibri"/>
      <family val="2"/>
    </font>
    <font>
      <b/>
      <sz val="14"/>
      <color rgb="FF008080"/>
      <name val="Calibri"/>
      <family val="2"/>
    </font>
    <font>
      <sz val="12"/>
      <color theme="0"/>
      <name val="Times New Roman"/>
      <family val="1"/>
    </font>
    <font>
      <sz val="8"/>
      <color rgb="FF000000"/>
      <name val="Times New Roman"/>
      <family val="1"/>
    </font>
    <font>
      <i/>
      <sz val="8"/>
      <color rgb="FF000000"/>
      <name val="Times New Roman"/>
      <family val="1"/>
    </font>
  </fonts>
  <fills count="15">
    <fill>
      <patternFill patternType="none"/>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4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2">
    <xf numFmtId="0" fontId="0" fillId="0" borderId="0"/>
    <xf numFmtId="0" fontId="1" fillId="0" borderId="0"/>
    <xf numFmtId="164" fontId="1" fillId="0" borderId="0" applyFill="0" applyBorder="0" applyAlignment="0" applyProtection="0"/>
    <xf numFmtId="0" fontId="8" fillId="0" borderId="0" applyNumberFormat="0" applyFill="0" applyBorder="0" applyAlignment="0" applyProtection="0">
      <alignment vertical="top"/>
      <protection locked="0"/>
    </xf>
    <xf numFmtId="0" fontId="18" fillId="5" borderId="0" applyNumberFormat="0" applyBorder="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17" fillId="9" borderId="0" applyNumberFormat="0" applyBorder="0" applyAlignment="0" applyProtection="0"/>
    <xf numFmtId="0" fontId="17" fillId="0" borderId="0"/>
    <xf numFmtId="0" fontId="17" fillId="10" borderId="0" applyNumberFormat="0" applyBorder="0" applyAlignment="0" applyProtection="0"/>
    <xf numFmtId="0" fontId="21" fillId="11" borderId="0" applyNumberFormat="0" applyBorder="0" applyAlignment="0" applyProtection="0"/>
  </cellStyleXfs>
  <cellXfs count="746">
    <xf numFmtId="0" fontId="0" fillId="0" borderId="0" xfId="0"/>
    <xf numFmtId="0" fontId="0" fillId="0" borderId="2" xfId="0" applyBorder="1"/>
    <xf numFmtId="165" fontId="0" fillId="0" borderId="2" xfId="0" applyNumberFormat="1" applyBorder="1" applyAlignment="1">
      <alignment horizontal="center"/>
    </xf>
    <xf numFmtId="0" fontId="0" fillId="2" borderId="3" xfId="0" applyFill="1" applyBorder="1" applyAlignment="1" applyProtection="1">
      <alignment vertical="center"/>
      <protection locked="0"/>
    </xf>
    <xf numFmtId="0" fontId="0" fillId="0" borderId="0" xfId="0" applyAlignment="1">
      <alignment vertical="center"/>
    </xf>
    <xf numFmtId="0" fontId="0" fillId="2" borderId="5" xfId="0" applyFill="1" applyBorder="1" applyAlignment="1" applyProtection="1">
      <alignment vertical="center"/>
      <protection locked="0"/>
    </xf>
    <xf numFmtId="0" fontId="0" fillId="2" borderId="4" xfId="0" applyFill="1" applyBorder="1" applyAlignment="1" applyProtection="1">
      <alignment vertical="center"/>
      <protection locked="0"/>
    </xf>
    <xf numFmtId="165" fontId="0" fillId="0" borderId="0" xfId="0" applyNumberFormat="1" applyAlignment="1">
      <alignment vertical="center"/>
    </xf>
    <xf numFmtId="0" fontId="0" fillId="0" borderId="0" xfId="0" applyAlignment="1">
      <alignment horizontal="center" vertical="center"/>
    </xf>
    <xf numFmtId="0" fontId="0" fillId="0" borderId="0" xfId="0" applyAlignment="1" applyProtection="1">
      <alignment vertical="center"/>
      <protection locked="0"/>
    </xf>
    <xf numFmtId="0" fontId="0" fillId="0" borderId="2" xfId="0" applyBorder="1" applyAlignment="1">
      <alignment vertical="center"/>
    </xf>
    <xf numFmtId="0" fontId="0" fillId="0" borderId="2" xfId="0" applyBorder="1" applyAlignment="1">
      <alignment horizontal="center" vertical="center"/>
    </xf>
    <xf numFmtId="167" fontId="2" fillId="0" borderId="2" xfId="1" applyNumberFormat="1" applyFont="1" applyBorder="1" applyAlignment="1">
      <alignment horizontal="center" vertical="center"/>
    </xf>
    <xf numFmtId="165" fontId="0" fillId="0" borderId="2" xfId="0" applyNumberFormat="1" applyBorder="1" applyAlignment="1">
      <alignment horizontal="center" vertical="center"/>
    </xf>
    <xf numFmtId="0" fontId="4" fillId="0" borderId="0" xfId="0" applyFont="1" applyAlignment="1">
      <alignment vertical="center"/>
    </xf>
    <xf numFmtId="0" fontId="3" fillId="0" borderId="0" xfId="1" applyFont="1" applyAlignment="1">
      <alignment vertical="center"/>
    </xf>
    <xf numFmtId="0" fontId="0" fillId="0" borderId="0" xfId="0" applyAlignment="1">
      <alignment vertical="center" wrapText="1"/>
    </xf>
    <xf numFmtId="165" fontId="0" fillId="0" borderId="0" xfId="0" applyNumberForma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0" fillId="0" borderId="0" xfId="0" applyAlignment="1">
      <alignment horizontal="left" vertical="center"/>
    </xf>
    <xf numFmtId="0" fontId="0" fillId="0" borderId="2" xfId="0" applyBorder="1" applyAlignment="1">
      <alignment horizontal="center" vertical="center" wrapText="1"/>
    </xf>
    <xf numFmtId="0" fontId="0" fillId="0" borderId="8" xfId="0" applyBorder="1" applyAlignment="1">
      <alignment vertical="center"/>
    </xf>
    <xf numFmtId="2" fontId="0" fillId="0" borderId="0" xfId="0" applyNumberFormat="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14" fillId="0" borderId="0" xfId="0" applyFont="1" applyAlignment="1">
      <alignment vertical="center"/>
    </xf>
    <xf numFmtId="1" fontId="2" fillId="3" borderId="2" xfId="1" applyNumberFormat="1" applyFont="1" applyFill="1" applyBorder="1" applyAlignment="1" applyProtection="1">
      <alignment horizontal="center" vertical="center"/>
      <protection locked="0"/>
    </xf>
    <xf numFmtId="167" fontId="0" fillId="0" borderId="2" xfId="0" applyNumberFormat="1" applyBorder="1" applyAlignment="1">
      <alignment horizontal="center" vertical="center"/>
    </xf>
    <xf numFmtId="0" fontId="15" fillId="0" borderId="0" xfId="0"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wrapText="1"/>
    </xf>
    <xf numFmtId="0" fontId="15" fillId="0" borderId="0" xfId="0" applyFont="1" applyAlignment="1">
      <alignment vertical="center"/>
    </xf>
    <xf numFmtId="170" fontId="15" fillId="0" borderId="0" xfId="0" applyNumberFormat="1" applyFont="1" applyAlignment="1">
      <alignment vertical="center"/>
    </xf>
    <xf numFmtId="166" fontId="15" fillId="0" borderId="0" xfId="0" applyNumberFormat="1" applyFont="1" applyAlignment="1">
      <alignment vertical="center" wrapText="1"/>
    </xf>
    <xf numFmtId="167" fontId="15" fillId="0" borderId="0" xfId="0" applyNumberFormat="1" applyFont="1" applyAlignment="1">
      <alignment vertical="center" wrapText="1"/>
    </xf>
    <xf numFmtId="166" fontId="15" fillId="0" borderId="0" xfId="0" applyNumberFormat="1" applyFont="1" applyAlignment="1">
      <alignment horizontal="center" vertical="center" wrapText="1"/>
    </xf>
    <xf numFmtId="0" fontId="15" fillId="0" borderId="0" xfId="0" applyFont="1" applyAlignment="1">
      <alignment horizontal="center" vertical="center"/>
    </xf>
    <xf numFmtId="166" fontId="15" fillId="0" borderId="0" xfId="0" quotePrefix="1" applyNumberFormat="1" applyFont="1" applyAlignment="1">
      <alignment horizontal="center" vertical="center" wrapText="1"/>
    </xf>
    <xf numFmtId="0" fontId="15" fillId="0" borderId="0" xfId="0" quotePrefix="1" applyFont="1" applyAlignment="1">
      <alignment horizontal="center" vertical="center"/>
    </xf>
    <xf numFmtId="0" fontId="0" fillId="4" borderId="0" xfId="0" applyFill="1"/>
    <xf numFmtId="0" fontId="0" fillId="4" borderId="0" xfId="0" applyFill="1" applyAlignment="1">
      <alignment vertical="center"/>
    </xf>
    <xf numFmtId="0" fontId="0" fillId="4" borderId="24" xfId="0" applyFill="1" applyBorder="1"/>
    <xf numFmtId="0" fontId="0" fillId="4" borderId="25" xfId="0" applyFill="1" applyBorder="1"/>
    <xf numFmtId="0" fontId="0" fillId="4" borderId="28" xfId="0" applyFill="1" applyBorder="1"/>
    <xf numFmtId="0" fontId="0" fillId="4" borderId="29" xfId="0" applyFill="1" applyBorder="1"/>
    <xf numFmtId="0" fontId="17" fillId="9" borderId="35" xfId="8" applyBorder="1" applyAlignment="1">
      <alignment horizontal="center"/>
    </xf>
    <xf numFmtId="0" fontId="17" fillId="9" borderId="34" xfId="8" applyBorder="1" applyAlignment="1">
      <alignment horizontal="center"/>
    </xf>
    <xf numFmtId="0" fontId="0" fillId="4" borderId="27" xfId="0" applyFill="1" applyBorder="1" applyAlignment="1">
      <alignment horizontal="center"/>
    </xf>
    <xf numFmtId="0" fontId="20" fillId="7" borderId="26" xfId="6" applyBorder="1"/>
    <xf numFmtId="0" fontId="20" fillId="7" borderId="38" xfId="6" applyBorder="1"/>
    <xf numFmtId="0" fontId="20" fillId="7" borderId="27" xfId="6" applyBorder="1"/>
    <xf numFmtId="0" fontId="20" fillId="7" borderId="33" xfId="6" applyBorder="1"/>
    <xf numFmtId="0" fontId="20" fillId="7" borderId="5" xfId="6" applyBorder="1"/>
    <xf numFmtId="0" fontId="20" fillId="7" borderId="34" xfId="6" applyBorder="1"/>
    <xf numFmtId="0" fontId="23" fillId="4" borderId="0" xfId="0" applyFont="1" applyFill="1" applyAlignment="1">
      <alignment vertical="top"/>
    </xf>
    <xf numFmtId="0" fontId="25" fillId="4" borderId="0" xfId="0" applyFont="1" applyFill="1" applyAlignment="1">
      <alignment vertical="top"/>
    </xf>
    <xf numFmtId="0" fontId="19" fillId="6" borderId="0" xfId="5"/>
    <xf numFmtId="0" fontId="19" fillId="6" borderId="0" xfId="5" applyAlignment="1">
      <alignment vertical="top"/>
    </xf>
    <xf numFmtId="0" fontId="1" fillId="0" borderId="0" xfId="1"/>
    <xf numFmtId="0" fontId="21" fillId="8" borderId="2" xfId="7" applyBorder="1" applyAlignment="1">
      <alignment vertical="center"/>
    </xf>
    <xf numFmtId="0" fontId="21" fillId="8" borderId="2" xfId="7" applyBorder="1" applyAlignment="1">
      <alignment horizontal="center" vertical="center"/>
    </xf>
    <xf numFmtId="166" fontId="17" fillId="9" borderId="2" xfId="8" applyNumberFormat="1" applyBorder="1" applyAlignment="1">
      <alignment vertical="center"/>
    </xf>
    <xf numFmtId="0" fontId="17" fillId="9" borderId="2" xfId="8" applyBorder="1" applyAlignment="1">
      <alignment vertical="center"/>
    </xf>
    <xf numFmtId="0" fontId="6" fillId="0" borderId="39" xfId="0" applyFont="1" applyBorder="1" applyAlignment="1">
      <alignment vertical="center"/>
    </xf>
    <xf numFmtId="172" fontId="0" fillId="0" borderId="0" xfId="0" applyNumberFormat="1" applyAlignment="1">
      <alignment vertical="center"/>
    </xf>
    <xf numFmtId="0" fontId="21" fillId="8" borderId="0" xfId="7" applyAlignment="1">
      <alignment horizontal="left" vertical="center"/>
    </xf>
    <xf numFmtId="169" fontId="17" fillId="9" borderId="2" xfId="8" applyNumberFormat="1" applyBorder="1" applyAlignment="1" applyProtection="1">
      <alignment horizontal="left" vertical="center"/>
      <protection locked="0"/>
    </xf>
    <xf numFmtId="167" fontId="17" fillId="9" borderId="2" xfId="8" applyNumberFormat="1" applyBorder="1" applyAlignment="1" applyProtection="1">
      <alignment horizontal="left" vertical="center"/>
      <protection locked="0"/>
    </xf>
    <xf numFmtId="1" fontId="17" fillId="9" borderId="2" xfId="8" applyNumberFormat="1" applyBorder="1" applyAlignment="1" applyProtection="1">
      <alignment horizontal="left" vertical="center"/>
      <protection locked="0"/>
    </xf>
    <xf numFmtId="0" fontId="14"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8" fillId="0" borderId="0" xfId="0" applyFont="1"/>
    <xf numFmtId="0" fontId="14" fillId="0" borderId="0" xfId="0" applyFont="1"/>
    <xf numFmtId="0" fontId="29" fillId="0" borderId="0" xfId="0" applyFont="1" applyAlignment="1">
      <alignment vertical="center"/>
    </xf>
    <xf numFmtId="0" fontId="14" fillId="0" borderId="0" xfId="0" applyFont="1" applyAlignment="1">
      <alignment horizontal="left" vertical="center"/>
    </xf>
    <xf numFmtId="1" fontId="27" fillId="0" borderId="0" xfId="0" applyNumberFormat="1" applyFont="1" applyAlignment="1">
      <alignment vertical="center"/>
    </xf>
    <xf numFmtId="0" fontId="30" fillId="0" borderId="0" xfId="0" applyFont="1" applyAlignment="1">
      <alignment vertical="top" wrapText="1"/>
    </xf>
    <xf numFmtId="0" fontId="29" fillId="0" borderId="0" xfId="0" applyFont="1"/>
    <xf numFmtId="0" fontId="27" fillId="0" borderId="0" xfId="0" applyFont="1" applyAlignment="1">
      <alignment vertical="top" wrapText="1"/>
    </xf>
    <xf numFmtId="0" fontId="27" fillId="0" borderId="0" xfId="0" applyFont="1" applyAlignment="1">
      <alignment vertical="top"/>
    </xf>
    <xf numFmtId="0" fontId="14" fillId="0" borderId="0" xfId="0" applyFont="1" applyAlignment="1">
      <alignment vertical="top" wrapText="1"/>
    </xf>
    <xf numFmtId="0" fontId="30" fillId="0" borderId="0" xfId="0" applyFont="1"/>
    <xf numFmtId="0" fontId="27" fillId="0" borderId="0" xfId="0" applyFont="1"/>
    <xf numFmtId="1" fontId="14" fillId="0" borderId="0" xfId="0" applyNumberFormat="1" applyFont="1" applyAlignment="1">
      <alignment horizontal="center" vertical="center"/>
    </xf>
    <xf numFmtId="2" fontId="14" fillId="0" borderId="0" xfId="0" applyNumberFormat="1" applyFont="1" applyAlignment="1">
      <alignment vertical="center"/>
    </xf>
    <xf numFmtId="167" fontId="14" fillId="0" borderId="0" xfId="0" applyNumberFormat="1" applyFont="1" applyAlignment="1">
      <alignment vertical="center"/>
    </xf>
    <xf numFmtId="167" fontId="14" fillId="0" borderId="0" xfId="0" applyNumberFormat="1" applyFont="1" applyAlignment="1">
      <alignment horizontal="center" vertical="center"/>
    </xf>
    <xf numFmtId="2" fontId="14" fillId="0" borderId="0" xfId="0" applyNumberFormat="1" applyFont="1" applyAlignment="1">
      <alignment horizontal="center" vertical="center"/>
    </xf>
    <xf numFmtId="0" fontId="34" fillId="0" borderId="0" xfId="0" applyFont="1" applyAlignment="1">
      <alignment horizontal="center"/>
    </xf>
    <xf numFmtId="0" fontId="30" fillId="0" borderId="0" xfId="0" applyFont="1" applyAlignment="1">
      <alignment wrapText="1"/>
    </xf>
    <xf numFmtId="0" fontId="30" fillId="0" borderId="0" xfId="0" applyFont="1" applyAlignment="1">
      <alignment vertical="center"/>
    </xf>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xf>
    <xf numFmtId="168" fontId="14" fillId="0" borderId="0" xfId="0" applyNumberFormat="1" applyFont="1" applyAlignment="1">
      <alignment vertical="center"/>
    </xf>
    <xf numFmtId="49" fontId="35" fillId="0" borderId="0" xfId="0" applyNumberFormat="1" applyFont="1" applyAlignment="1">
      <alignment horizontal="right" vertical="center"/>
    </xf>
    <xf numFmtId="0" fontId="14" fillId="0" borderId="0" xfId="0" applyFont="1" applyAlignment="1">
      <alignment horizontal="justify" vertical="center" wrapText="1"/>
    </xf>
    <xf numFmtId="0" fontId="14" fillId="0" borderId="0" xfId="0" applyFont="1" applyAlignment="1">
      <alignment wrapText="1"/>
    </xf>
    <xf numFmtId="0" fontId="34" fillId="0" borderId="0" xfId="0" applyFont="1" applyAlignment="1">
      <alignment horizontal="left" vertical="center"/>
    </xf>
    <xf numFmtId="0" fontId="34" fillId="0" borderId="0" xfId="0" applyFont="1"/>
    <xf numFmtId="0" fontId="34" fillId="0" borderId="0" xfId="0" applyFont="1" applyAlignment="1">
      <alignment horizontal="left" vertical="top"/>
    </xf>
    <xf numFmtId="0" fontId="36" fillId="0" borderId="0" xfId="0" applyFont="1"/>
    <xf numFmtId="0" fontId="0" fillId="4" borderId="0" xfId="0" applyFill="1" applyAlignment="1">
      <alignment horizontal="right" vertical="center"/>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0" fontId="14" fillId="0" borderId="0" xfId="0" applyFont="1" applyAlignment="1">
      <alignment horizontal="justify" vertical="justify" wrapText="1"/>
    </xf>
    <xf numFmtId="0" fontId="14" fillId="0" borderId="0" xfId="0" applyFont="1" applyAlignment="1">
      <alignment horizontal="justify" vertical="top" wrapText="1"/>
    </xf>
    <xf numFmtId="0" fontId="24" fillId="5" borderId="1" xfId="4" applyFont="1" applyBorder="1" applyAlignment="1" applyProtection="1">
      <alignment horizontal="center"/>
      <protection locked="0"/>
    </xf>
    <xf numFmtId="0" fontId="0" fillId="4" borderId="38" xfId="0" applyFill="1" applyBorder="1" applyAlignment="1">
      <alignment vertical="center"/>
    </xf>
    <xf numFmtId="0" fontId="18" fillId="5" borderId="0" xfId="4" applyAlignment="1">
      <alignment vertical="center"/>
    </xf>
    <xf numFmtId="0" fontId="17" fillId="0" borderId="0" xfId="9"/>
    <xf numFmtId="0" fontId="26" fillId="0" borderId="0" xfId="9" applyFont="1" applyAlignment="1">
      <alignment vertical="center"/>
    </xf>
    <xf numFmtId="0" fontId="27" fillId="0" borderId="0" xfId="9" applyFont="1" applyAlignment="1">
      <alignment vertical="center"/>
    </xf>
    <xf numFmtId="0" fontId="14" fillId="0" borderId="0" xfId="9" applyFont="1"/>
    <xf numFmtId="0" fontId="14" fillId="0" borderId="0" xfId="9" applyFont="1" applyAlignment="1">
      <alignment vertical="center"/>
    </xf>
    <xf numFmtId="0" fontId="29" fillId="0" borderId="0" xfId="9" applyFont="1" applyAlignment="1">
      <alignment vertical="center"/>
    </xf>
    <xf numFmtId="0" fontId="14" fillId="0" borderId="0" xfId="9" applyFont="1" applyAlignment="1">
      <alignment horizontal="left" vertical="center"/>
    </xf>
    <xf numFmtId="0" fontId="42" fillId="0" borderId="2" xfId="1" applyFont="1" applyBorder="1" applyAlignment="1">
      <alignment vertical="center"/>
    </xf>
    <xf numFmtId="0" fontId="14" fillId="0" borderId="6" xfId="9" applyFont="1" applyBorder="1" applyAlignment="1">
      <alignment vertical="center"/>
    </xf>
    <xf numFmtId="0" fontId="29" fillId="0" borderId="6" xfId="9" applyFont="1" applyBorder="1" applyAlignment="1">
      <alignment vertical="center"/>
    </xf>
    <xf numFmtId="0" fontId="14" fillId="0" borderId="7" xfId="9" applyFont="1" applyBorder="1" applyAlignment="1">
      <alignment horizontal="left" vertical="center"/>
    </xf>
    <xf numFmtId="0" fontId="42" fillId="0" borderId="1" xfId="1" applyFont="1" applyBorder="1"/>
    <xf numFmtId="0" fontId="42" fillId="0" borderId="6" xfId="1" applyFont="1" applyBorder="1"/>
    <xf numFmtId="0" fontId="27" fillId="0" borderId="6" xfId="9" applyFont="1" applyBorder="1" applyAlignment="1">
      <alignment vertical="center"/>
    </xf>
    <xf numFmtId="0" fontId="14" fillId="0" borderId="7" xfId="9" applyFont="1" applyBorder="1" applyAlignment="1">
      <alignment vertical="center"/>
    </xf>
    <xf numFmtId="0" fontId="17" fillId="0" borderId="1" xfId="9" applyBorder="1"/>
    <xf numFmtId="0" fontId="27" fillId="0" borderId="6" xfId="9" applyFont="1" applyBorder="1" applyAlignment="1">
      <alignment horizontal="left" vertical="center"/>
    </xf>
    <xf numFmtId="0" fontId="27" fillId="0" borderId="6" xfId="9" applyFont="1" applyBorder="1" applyAlignment="1">
      <alignment vertical="center" wrapText="1"/>
    </xf>
    <xf numFmtId="0" fontId="27" fillId="0" borderId="6" xfId="9" applyFont="1" applyBorder="1" applyAlignment="1">
      <alignment horizontal="left" vertical="center" wrapText="1"/>
    </xf>
    <xf numFmtId="0" fontId="17" fillId="0" borderId="6" xfId="9" applyBorder="1"/>
    <xf numFmtId="0" fontId="27" fillId="0" borderId="7" xfId="9" applyFont="1" applyBorder="1" applyAlignment="1">
      <alignment vertical="center" wrapText="1"/>
    </xf>
    <xf numFmtId="173" fontId="42" fillId="0" borderId="1" xfId="1" applyNumberFormat="1" applyFont="1" applyBorder="1"/>
    <xf numFmtId="0" fontId="14" fillId="0" borderId="1" xfId="9" applyFont="1" applyBorder="1" applyAlignment="1">
      <alignment vertical="center"/>
    </xf>
    <xf numFmtId="0" fontId="30" fillId="0" borderId="0" xfId="9" applyFont="1" applyAlignment="1">
      <alignment vertical="top" wrapText="1"/>
    </xf>
    <xf numFmtId="0" fontId="29" fillId="0" borderId="0" xfId="9" applyFont="1"/>
    <xf numFmtId="0" fontId="27" fillId="0" borderId="0" xfId="9" applyFont="1" applyAlignment="1">
      <alignment vertical="top" wrapText="1"/>
    </xf>
    <xf numFmtId="0" fontId="27" fillId="0" borderId="0" xfId="9" applyFont="1" applyAlignment="1">
      <alignment vertical="center" wrapText="1"/>
    </xf>
    <xf numFmtId="0" fontId="42" fillId="0" borderId="0" xfId="1" applyFont="1" applyAlignment="1">
      <alignment vertical="center"/>
    </xf>
    <xf numFmtId="0" fontId="27" fillId="0" borderId="0" xfId="9" applyFont="1" applyAlignment="1">
      <alignment vertical="top"/>
    </xf>
    <xf numFmtId="0" fontId="14" fillId="0" borderId="0" xfId="9" applyFont="1" applyAlignment="1">
      <alignment vertical="top" wrapText="1"/>
    </xf>
    <xf numFmtId="0" fontId="30" fillId="0" borderId="0" xfId="9" applyFont="1"/>
    <xf numFmtId="0" fontId="27" fillId="0" borderId="0" xfId="9" applyFont="1"/>
    <xf numFmtId="167" fontId="14" fillId="0" borderId="0" xfId="9" applyNumberFormat="1" applyFont="1" applyAlignment="1">
      <alignment vertical="center"/>
    </xf>
    <xf numFmtId="168" fontId="14" fillId="0" borderId="0" xfId="9" applyNumberFormat="1" applyFont="1" applyAlignment="1">
      <alignment horizontal="center" vertical="center"/>
    </xf>
    <xf numFmtId="2" fontId="14" fillId="0" borderId="0" xfId="9" applyNumberFormat="1" applyFont="1" applyAlignment="1">
      <alignment vertical="center"/>
    </xf>
    <xf numFmtId="0" fontId="30" fillId="0" borderId="0" xfId="9" applyFont="1" applyAlignment="1">
      <alignment wrapText="1"/>
    </xf>
    <xf numFmtId="0" fontId="34" fillId="0" borderId="0" xfId="9" applyFont="1" applyAlignment="1">
      <alignment horizontal="center"/>
    </xf>
    <xf numFmtId="0" fontId="14" fillId="0" borderId="0" xfId="9" applyFont="1" applyAlignment="1">
      <alignment horizontal="center" vertical="center"/>
    </xf>
    <xf numFmtId="0" fontId="14" fillId="0" borderId="0" xfId="9" applyFont="1" applyAlignment="1">
      <alignment horizontal="justify" vertical="justify" wrapText="1"/>
    </xf>
    <xf numFmtId="0" fontId="14" fillId="0" borderId="0" xfId="9" applyFont="1" applyAlignment="1">
      <alignment vertical="center" wrapText="1"/>
    </xf>
    <xf numFmtId="0" fontId="14" fillId="0" borderId="0" xfId="9" applyFont="1" applyAlignment="1">
      <alignment horizontal="center"/>
    </xf>
    <xf numFmtId="168" fontId="14" fillId="0" borderId="0" xfId="9" applyNumberFormat="1" applyFont="1" applyAlignment="1">
      <alignment vertical="center"/>
    </xf>
    <xf numFmtId="0" fontId="14" fillId="0" borderId="0" xfId="9" applyFont="1" applyAlignment="1">
      <alignment horizontal="left" wrapText="1"/>
    </xf>
    <xf numFmtId="49" fontId="35" fillId="0" borderId="0" xfId="9" applyNumberFormat="1" applyFont="1" applyAlignment="1">
      <alignment horizontal="right" vertical="center"/>
    </xf>
    <xf numFmtId="0" fontId="14" fillId="0" borderId="0" xfId="9" applyFont="1" applyAlignment="1">
      <alignment horizontal="justify" vertical="center" wrapText="1"/>
    </xf>
    <xf numFmtId="0" fontId="14" fillId="0" borderId="0" xfId="9" applyFont="1" applyAlignment="1">
      <alignment wrapText="1"/>
    </xf>
    <xf numFmtId="0" fontId="34" fillId="0" borderId="0" xfId="9" applyFont="1" applyAlignment="1">
      <alignment horizontal="left" vertical="center"/>
    </xf>
    <xf numFmtId="0" fontId="34" fillId="0" borderId="0" xfId="9" applyFont="1"/>
    <xf numFmtId="0" fontId="36" fillId="0" borderId="0" xfId="9" applyFont="1"/>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68" fontId="17" fillId="9" borderId="6" xfId="8" applyNumberFormat="1" applyBorder="1" applyAlignment="1" applyProtection="1">
      <alignment horizontal="left" vertical="center"/>
      <protection locked="0"/>
    </xf>
    <xf numFmtId="168" fontId="17" fillId="9" borderId="7" xfId="8" applyNumberFormat="1" applyBorder="1" applyAlignment="1" applyProtection="1">
      <alignment horizontal="left" vertical="center"/>
      <protection locked="0"/>
    </xf>
    <xf numFmtId="167" fontId="17" fillId="9" borderId="1" xfId="8" applyNumberFormat="1" applyBorder="1" applyAlignment="1" applyProtection="1">
      <alignment horizontal="left" vertical="center"/>
      <protection locked="0"/>
    </xf>
    <xf numFmtId="167" fontId="17" fillId="9" borderId="6" xfId="8" applyNumberFormat="1" applyBorder="1" applyAlignment="1" applyProtection="1">
      <alignment horizontal="left" vertical="center"/>
      <protection locked="0"/>
    </xf>
    <xf numFmtId="167" fontId="17" fillId="9" borderId="7" xfId="8" applyNumberFormat="1" applyBorder="1" applyAlignment="1" applyProtection="1">
      <alignment horizontal="left" vertical="center"/>
      <protection locked="0"/>
    </xf>
    <xf numFmtId="0" fontId="17" fillId="9" borderId="1" xfId="8" applyBorder="1" applyAlignment="1">
      <alignment horizontal="left" vertical="center"/>
    </xf>
    <xf numFmtId="0" fontId="17" fillId="9" borderId="6" xfId="8" applyBorder="1" applyAlignment="1">
      <alignment horizontal="left" vertical="center"/>
    </xf>
    <xf numFmtId="0" fontId="17" fillId="9" borderId="7" xfId="8" applyBorder="1" applyAlignment="1">
      <alignment horizontal="left" vertical="center"/>
    </xf>
    <xf numFmtId="0" fontId="12" fillId="0" borderId="0" xfId="0" applyFont="1" applyAlignment="1" applyProtection="1">
      <alignment horizontal="center" vertical="center"/>
      <protection locked="0"/>
    </xf>
    <xf numFmtId="0" fontId="0" fillId="0" borderId="0" xfId="0" applyAlignment="1">
      <alignment horizontal="center" vertical="center" wrapText="1"/>
    </xf>
    <xf numFmtId="167" fontId="0" fillId="0" borderId="0" xfId="0" applyNumberFormat="1" applyAlignment="1">
      <alignment horizontal="center" vertical="center"/>
    </xf>
    <xf numFmtId="168" fontId="17" fillId="10" borderId="2" xfId="10" applyNumberFormat="1" applyBorder="1" applyAlignment="1">
      <alignment horizontal="center" vertical="center"/>
    </xf>
    <xf numFmtId="0" fontId="0" fillId="13" borderId="0" xfId="0" applyFill="1" applyAlignment="1">
      <alignment vertical="center"/>
    </xf>
    <xf numFmtId="0" fontId="44" fillId="13" borderId="0" xfId="0" applyFont="1" applyFill="1" applyAlignment="1">
      <alignment horizontal="center" vertical="top"/>
    </xf>
    <xf numFmtId="0" fontId="44" fillId="13" borderId="0" xfId="0" applyFont="1" applyFill="1" applyAlignment="1">
      <alignment horizontal="center"/>
    </xf>
    <xf numFmtId="0" fontId="19" fillId="6" borderId="0" xfId="5" applyAlignment="1">
      <alignment vertical="center"/>
    </xf>
    <xf numFmtId="0" fontId="8" fillId="4" borderId="0" xfId="3" applyFill="1" applyAlignment="1" applyProtection="1">
      <alignment horizontal="center" vertical="center"/>
    </xf>
    <xf numFmtId="0" fontId="10" fillId="4" borderId="0" xfId="3" applyFont="1" applyFill="1" applyAlignment="1" applyProtection="1">
      <alignment horizontal="center" vertical="center"/>
    </xf>
    <xf numFmtId="0" fontId="21" fillId="8" borderId="3" xfId="7" applyBorder="1" applyAlignment="1">
      <alignment vertical="center"/>
    </xf>
    <xf numFmtId="0" fontId="5" fillId="0" borderId="2" xfId="0" applyFont="1" applyBorder="1" applyAlignment="1">
      <alignment vertical="center"/>
    </xf>
    <xf numFmtId="0" fontId="0" fillId="0" borderId="4" xfId="0" applyBorder="1" applyAlignment="1">
      <alignment vertical="center"/>
    </xf>
    <xf numFmtId="0" fontId="5" fillId="0" borderId="4" xfId="0" applyFont="1" applyBorder="1" applyAlignment="1">
      <alignment horizontal="center" vertical="center"/>
    </xf>
    <xf numFmtId="0" fontId="21" fillId="8" borderId="40" xfId="7" applyBorder="1" applyAlignment="1">
      <alignment vertical="center"/>
    </xf>
    <xf numFmtId="0" fontId="21" fillId="8" borderId="41" xfId="7" applyBorder="1" applyAlignment="1">
      <alignment vertical="center"/>
    </xf>
    <xf numFmtId="0" fontId="21" fillId="8" borderId="42" xfId="7" applyBorder="1" applyAlignment="1">
      <alignment vertical="center"/>
    </xf>
    <xf numFmtId="0" fontId="5" fillId="0" borderId="0" xfId="0" applyFont="1" applyAlignment="1">
      <alignment vertical="center"/>
    </xf>
    <xf numFmtId="0" fontId="17" fillId="9" borderId="1" xfId="8" applyBorder="1" applyAlignment="1">
      <alignment vertical="center"/>
    </xf>
    <xf numFmtId="0" fontId="17" fillId="9" borderId="6" xfId="8" applyBorder="1" applyAlignment="1">
      <alignment vertical="center"/>
    </xf>
    <xf numFmtId="0" fontId="17" fillId="9" borderId="7" xfId="8" applyBorder="1" applyAlignment="1">
      <alignment vertical="center"/>
    </xf>
    <xf numFmtId="0" fontId="54" fillId="11" borderId="13" xfId="11" applyFont="1" applyBorder="1" applyAlignment="1">
      <alignment vertical="center"/>
    </xf>
    <xf numFmtId="0" fontId="54" fillId="11" borderId="8" xfId="11" quotePrefix="1" applyFont="1" applyBorder="1" applyAlignment="1">
      <alignment horizontal="left" vertical="center"/>
    </xf>
    <xf numFmtId="0" fontId="54" fillId="11" borderId="38" xfId="11" applyFont="1" applyBorder="1" applyAlignment="1">
      <alignment vertical="center"/>
    </xf>
    <xf numFmtId="0" fontId="54" fillId="11" borderId="8" xfId="11" applyFont="1" applyBorder="1" applyAlignment="1">
      <alignment vertical="center"/>
    </xf>
    <xf numFmtId="0" fontId="54" fillId="11" borderId="11" xfId="11" applyFont="1" applyBorder="1" applyAlignment="1" applyProtection="1">
      <alignment horizontal="center" vertical="center"/>
      <protection locked="0"/>
    </xf>
    <xf numFmtId="0" fontId="54" fillId="11" borderId="9" xfId="11" applyFont="1" applyBorder="1" applyAlignment="1" applyProtection="1">
      <alignment horizontal="left" vertical="center"/>
      <protection locked="0"/>
    </xf>
    <xf numFmtId="0" fontId="55" fillId="11" borderId="12" xfId="11" applyFont="1" applyBorder="1" applyAlignment="1">
      <alignment horizontal="left" vertical="center"/>
    </xf>
    <xf numFmtId="0" fontId="49" fillId="4" borderId="0" xfId="0" applyFont="1" applyFill="1" applyAlignment="1">
      <alignment vertical="center"/>
    </xf>
    <xf numFmtId="0" fontId="53" fillId="4" borderId="0" xfId="0" applyFont="1" applyFill="1" applyAlignment="1">
      <alignment vertical="center"/>
    </xf>
    <xf numFmtId="0" fontId="52" fillId="4" borderId="0" xfId="3" applyFont="1" applyFill="1" applyAlignment="1" applyProtection="1">
      <alignment vertical="center"/>
    </xf>
    <xf numFmtId="0" fontId="59" fillId="4" borderId="0" xfId="0" applyFont="1" applyFill="1" applyAlignment="1">
      <alignment vertical="center"/>
    </xf>
    <xf numFmtId="0" fontId="0" fillId="4" borderId="21" xfId="0" applyFill="1" applyBorder="1"/>
    <xf numFmtId="0" fontId="0" fillId="4" borderId="2" xfId="0" applyFill="1" applyBorder="1" applyAlignment="1">
      <alignment horizontal="center"/>
    </xf>
    <xf numFmtId="49" fontId="0" fillId="4" borderId="4" xfId="0" applyNumberFormat="1" applyFill="1" applyBorder="1" applyAlignment="1">
      <alignment horizontal="center"/>
    </xf>
    <xf numFmtId="0" fontId="24" fillId="5" borderId="4" xfId="4" applyFont="1" applyBorder="1" applyAlignment="1">
      <alignment horizontal="center"/>
    </xf>
    <xf numFmtId="0" fontId="24" fillId="5" borderId="2" xfId="4" applyFont="1" applyBorder="1" applyAlignment="1">
      <alignment horizontal="center"/>
    </xf>
    <xf numFmtId="0" fontId="43" fillId="4" borderId="0" xfId="0" applyFont="1" applyFill="1"/>
    <xf numFmtId="0" fontId="47" fillId="4" borderId="0" xfId="1" applyFont="1" applyFill="1" applyAlignment="1">
      <alignment horizontal="left"/>
    </xf>
    <xf numFmtId="0" fontId="47" fillId="4" borderId="1" xfId="1" applyFont="1" applyFill="1" applyBorder="1"/>
    <xf numFmtId="0" fontId="47" fillId="4" borderId="6" xfId="1" applyFont="1" applyFill="1" applyBorder="1"/>
    <xf numFmtId="0" fontId="47" fillId="4" borderId="7" xfId="1" applyFont="1" applyFill="1" applyBorder="1"/>
    <xf numFmtId="0" fontId="1" fillId="4" borderId="0" xfId="1" applyFill="1"/>
    <xf numFmtId="0" fontId="50" fillId="4" borderId="0" xfId="1" applyFont="1" applyFill="1"/>
    <xf numFmtId="0" fontId="45" fillId="4" borderId="0" xfId="1" applyFont="1" applyFill="1"/>
    <xf numFmtId="0" fontId="45" fillId="4" borderId="0" xfId="1" applyFont="1" applyFill="1" applyAlignment="1">
      <alignment horizontal="left"/>
    </xf>
    <xf numFmtId="0" fontId="46" fillId="0" borderId="0" xfId="1" applyFont="1"/>
    <xf numFmtId="0" fontId="47" fillId="4" borderId="0" xfId="1" applyFont="1" applyFill="1"/>
    <xf numFmtId="0" fontId="46" fillId="4" borderId="0" xfId="1" applyFont="1" applyFill="1"/>
    <xf numFmtId="0" fontId="48" fillId="12" borderId="2" xfId="1" applyFont="1" applyFill="1" applyBorder="1" applyAlignment="1">
      <alignment horizontal="center" vertical="center" wrapText="1"/>
    </xf>
    <xf numFmtId="0" fontId="47" fillId="12" borderId="2" xfId="1" applyFont="1" applyFill="1" applyBorder="1" applyAlignment="1">
      <alignment horizontal="center" vertical="center" wrapText="1"/>
    </xf>
    <xf numFmtId="0" fontId="43" fillId="10" borderId="40" xfId="10" applyFont="1" applyBorder="1" applyAlignment="1">
      <alignment horizontal="left" vertical="center"/>
    </xf>
    <xf numFmtId="0" fontId="43" fillId="10" borderId="41" xfId="10" applyFont="1" applyBorder="1" applyAlignment="1">
      <alignment vertical="center" wrapText="1"/>
    </xf>
    <xf numFmtId="0" fontId="43" fillId="10" borderId="43" xfId="10" applyFont="1" applyBorder="1" applyAlignment="1">
      <alignment horizontal="center" vertical="center"/>
    </xf>
    <xf numFmtId="0" fontId="48" fillId="4" borderId="0" xfId="1" applyFont="1" applyFill="1" applyAlignment="1">
      <alignment horizontal="center" vertical="center" wrapText="1"/>
    </xf>
    <xf numFmtId="0" fontId="47" fillId="4" borderId="0" xfId="1" applyFont="1" applyFill="1" applyAlignment="1">
      <alignment horizontal="center" vertical="center" wrapText="1"/>
    </xf>
    <xf numFmtId="2" fontId="47" fillId="4" borderId="2" xfId="1" applyNumberFormat="1" applyFont="1" applyFill="1" applyBorder="1" applyAlignment="1">
      <alignment horizontal="center"/>
    </xf>
    <xf numFmtId="0" fontId="48" fillId="4" borderId="2" xfId="1" applyFont="1" applyFill="1" applyBorder="1" applyAlignment="1">
      <alignment horizontal="center"/>
    </xf>
    <xf numFmtId="0" fontId="36" fillId="10" borderId="8" xfId="10" applyFont="1" applyBorder="1"/>
    <xf numFmtId="0" fontId="36" fillId="10" borderId="0" xfId="10" applyFont="1"/>
    <xf numFmtId="0" fontId="43" fillId="10" borderId="0" xfId="10" applyFont="1" applyAlignment="1">
      <alignment horizontal="right"/>
    </xf>
    <xf numFmtId="175" fontId="47" fillId="0" borderId="4" xfId="1" applyNumberFormat="1" applyFont="1" applyBorder="1" applyAlignment="1">
      <alignment horizontal="center"/>
    </xf>
    <xf numFmtId="168" fontId="47" fillId="0" borderId="4" xfId="1" applyNumberFormat="1" applyFont="1" applyBorder="1" applyAlignment="1">
      <alignment horizontal="center"/>
    </xf>
    <xf numFmtId="0" fontId="47" fillId="4" borderId="0" xfId="1" applyFont="1" applyFill="1" applyAlignment="1">
      <alignment horizontal="center"/>
    </xf>
    <xf numFmtId="0" fontId="48" fillId="4" borderId="0" xfId="1" applyFont="1" applyFill="1" applyAlignment="1">
      <alignment horizontal="center"/>
    </xf>
    <xf numFmtId="175"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vertical="center"/>
    </xf>
    <xf numFmtId="0" fontId="36" fillId="10" borderId="9" xfId="10" applyFont="1" applyBorder="1"/>
    <xf numFmtId="0" fontId="36" fillId="10" borderId="10" xfId="10" applyFont="1" applyBorder="1"/>
    <xf numFmtId="0" fontId="43" fillId="10" borderId="10" xfId="10" applyFont="1" applyBorder="1" applyAlignment="1">
      <alignment horizontal="right"/>
    </xf>
    <xf numFmtId="0" fontId="60" fillId="4" borderId="0" xfId="1" applyFont="1" applyFill="1"/>
    <xf numFmtId="0" fontId="61" fillId="4" borderId="0" xfId="1" applyFont="1" applyFill="1"/>
    <xf numFmtId="0" fontId="47" fillId="4" borderId="0" xfId="1" applyFont="1" applyFill="1" applyAlignment="1">
      <alignment vertical="center" wrapText="1"/>
    </xf>
    <xf numFmtId="0" fontId="47" fillId="4" borderId="2" xfId="1" applyFont="1" applyFill="1" applyBorder="1" applyAlignment="1">
      <alignment horizontal="center"/>
    </xf>
    <xf numFmtId="0" fontId="51" fillId="12" borderId="2" xfId="1" applyFont="1" applyFill="1" applyBorder="1" applyAlignment="1">
      <alignment horizontal="center" vertical="center" wrapText="1"/>
    </xf>
    <xf numFmtId="0" fontId="47" fillId="4" borderId="8" xfId="1" applyFont="1" applyFill="1" applyBorder="1" applyAlignment="1">
      <alignment horizontal="center" vertical="center" wrapText="1"/>
    </xf>
    <xf numFmtId="0" fontId="47" fillId="4" borderId="2" xfId="1" applyFont="1" applyFill="1" applyBorder="1" applyAlignment="1">
      <alignment horizontal="center" vertical="center" wrapText="1"/>
    </xf>
    <xf numFmtId="1"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xf>
    <xf numFmtId="168" fontId="51" fillId="4" borderId="2" xfId="1" applyNumberFormat="1" applyFont="1" applyFill="1" applyBorder="1" applyAlignment="1">
      <alignment horizontal="center"/>
    </xf>
    <xf numFmtId="0" fontId="48" fillId="4" borderId="8" xfId="1" applyFont="1" applyFill="1" applyBorder="1" applyAlignment="1">
      <alignment horizontal="center"/>
    </xf>
    <xf numFmtId="2" fontId="51" fillId="4" borderId="2" xfId="1" applyNumberFormat="1" applyFont="1" applyFill="1" applyBorder="1" applyAlignment="1">
      <alignment horizontal="center"/>
    </xf>
    <xf numFmtId="0" fontId="45" fillId="4" borderId="0" xfId="1" applyFont="1" applyFill="1" applyAlignment="1">
      <alignment horizontal="center"/>
    </xf>
    <xf numFmtId="176" fontId="48" fillId="4" borderId="2" xfId="1" applyNumberFormat="1" applyFont="1" applyFill="1" applyBorder="1" applyAlignment="1">
      <alignment horizontal="center"/>
    </xf>
    <xf numFmtId="2" fontId="47" fillId="4" borderId="2" xfId="1" applyNumberFormat="1" applyFont="1" applyFill="1" applyBorder="1" applyAlignment="1">
      <alignment horizontal="center" vertical="center"/>
    </xf>
    <xf numFmtId="0" fontId="51" fillId="4" borderId="2" xfId="1" applyFont="1" applyFill="1" applyBorder="1" applyAlignment="1">
      <alignment horizontal="center"/>
    </xf>
    <xf numFmtId="0" fontId="29" fillId="4" borderId="0" xfId="0" applyFont="1" applyFill="1"/>
    <xf numFmtId="167" fontId="47" fillId="4" borderId="2" xfId="1" applyNumberFormat="1" applyFont="1" applyFill="1" applyBorder="1" applyAlignment="1">
      <alignment horizontal="center"/>
    </xf>
    <xf numFmtId="0" fontId="31" fillId="0" borderId="2" xfId="0" applyFont="1" applyBorder="1" applyAlignment="1">
      <alignment horizontal="center" vertical="center" wrapText="1"/>
    </xf>
    <xf numFmtId="0" fontId="47" fillId="4" borderId="2" xfId="1" applyFont="1" applyFill="1" applyBorder="1" applyAlignment="1">
      <alignment horizontal="center" vertical="center"/>
    </xf>
    <xf numFmtId="0" fontId="47" fillId="4" borderId="1" xfId="1" applyFont="1" applyFill="1" applyBorder="1" applyAlignment="1">
      <alignment horizontal="center" vertical="center"/>
    </xf>
    <xf numFmtId="168" fontId="47" fillId="4" borderId="1" xfId="1" applyNumberFormat="1" applyFont="1" applyFill="1" applyBorder="1" applyAlignment="1">
      <alignment horizontal="center" vertical="center"/>
    </xf>
    <xf numFmtId="165" fontId="47" fillId="4" borderId="2" xfId="1" applyNumberFormat="1" applyFont="1" applyFill="1" applyBorder="1" applyAlignment="1">
      <alignment horizontal="center" vertical="center"/>
    </xf>
    <xf numFmtId="167" fontId="47" fillId="4" borderId="2" xfId="1" applyNumberFormat="1" applyFont="1" applyFill="1" applyBorder="1" applyAlignment="1">
      <alignment horizontal="center" vertical="center"/>
    </xf>
    <xf numFmtId="2" fontId="14" fillId="0" borderId="2" xfId="0" applyNumberFormat="1" applyFont="1" applyBorder="1" applyAlignment="1">
      <alignment horizontal="center" vertical="center"/>
    </xf>
    <xf numFmtId="0" fontId="27" fillId="0" borderId="0" xfId="0" applyFont="1" applyAlignment="1">
      <alignment horizontal="left" vertical="center" wrapText="1"/>
    </xf>
    <xf numFmtId="172" fontId="27" fillId="0" borderId="0" xfId="0" quotePrefix="1" applyNumberFormat="1" applyFont="1" applyAlignment="1">
      <alignment horizontal="left" vertical="center"/>
    </xf>
    <xf numFmtId="0" fontId="27" fillId="0" borderId="0" xfId="0" applyFont="1" applyAlignment="1">
      <alignment horizontal="left" vertical="center"/>
    </xf>
    <xf numFmtId="0" fontId="14" fillId="0" borderId="0" xfId="0" applyFont="1" applyAlignment="1">
      <alignment horizontal="left" wrapText="1"/>
    </xf>
    <xf numFmtId="1" fontId="27" fillId="0" borderId="0" xfId="0" applyNumberFormat="1" applyFont="1" applyAlignment="1">
      <alignment horizontal="left" vertical="center"/>
    </xf>
    <xf numFmtId="0" fontId="0" fillId="4" borderId="0" xfId="0" applyFill="1" applyAlignment="1">
      <alignment horizontal="center"/>
    </xf>
    <xf numFmtId="2" fontId="43" fillId="4" borderId="0" xfId="0" applyNumberFormat="1" applyFont="1" applyFill="1" applyAlignment="1">
      <alignment horizontal="left" vertical="center"/>
    </xf>
    <xf numFmtId="0" fontId="50" fillId="4" borderId="2" xfId="1" applyFont="1" applyFill="1" applyBorder="1" applyAlignment="1">
      <alignment horizontal="center" vertical="center"/>
    </xf>
    <xf numFmtId="2" fontId="50" fillId="4" borderId="2" xfId="1" applyNumberFormat="1" applyFont="1" applyFill="1" applyBorder="1" applyAlignment="1">
      <alignment horizontal="center" vertical="center"/>
    </xf>
    <xf numFmtId="1" fontId="14" fillId="0" borderId="2" xfId="0" applyNumberFormat="1" applyFont="1" applyBorder="1" applyAlignment="1">
      <alignment horizontal="center" vertical="center"/>
    </xf>
    <xf numFmtId="0" fontId="14" fillId="0" borderId="0" xfId="0" applyFont="1" applyAlignment="1">
      <alignment vertical="justify" wrapText="1"/>
    </xf>
    <xf numFmtId="0" fontId="14" fillId="0" borderId="8" xfId="0" applyFont="1" applyBorder="1" applyAlignment="1">
      <alignment vertical="center" wrapText="1"/>
    </xf>
    <xf numFmtId="0" fontId="14" fillId="0" borderId="8" xfId="0" applyFont="1" applyBorder="1" applyAlignment="1">
      <alignment vertical="center"/>
    </xf>
    <xf numFmtId="175" fontId="14" fillId="0" borderId="0" xfId="0" applyNumberFormat="1" applyFont="1" applyAlignment="1">
      <alignment wrapText="1"/>
    </xf>
    <xf numFmtId="175" fontId="47" fillId="4" borderId="39" xfId="1" applyNumberFormat="1" applyFont="1" applyFill="1" applyBorder="1" applyAlignment="1">
      <alignment horizontal="center" vertical="center"/>
    </xf>
    <xf numFmtId="168" fontId="47" fillId="4" borderId="39" xfId="1" applyNumberFormat="1" applyFont="1" applyFill="1" applyBorder="1" applyAlignment="1">
      <alignment horizontal="center" vertical="center"/>
    </xf>
    <xf numFmtId="0" fontId="50" fillId="4" borderId="2" xfId="1" applyFont="1" applyFill="1" applyBorder="1" applyAlignment="1">
      <alignment horizontal="center"/>
    </xf>
    <xf numFmtId="178" fontId="47" fillId="4" borderId="2" xfId="1" applyNumberFormat="1" applyFont="1" applyFill="1" applyBorder="1" applyAlignment="1">
      <alignment horizontal="center"/>
    </xf>
    <xf numFmtId="0" fontId="36" fillId="4" borderId="0" xfId="0" applyFont="1" applyFill="1"/>
    <xf numFmtId="167" fontId="0" fillId="0" borderId="2" xfId="0" applyNumberFormat="1" applyBorder="1" applyAlignment="1">
      <alignment horizontal="center" vertical="center" wrapText="1"/>
    </xf>
    <xf numFmtId="0" fontId="4" fillId="4" borderId="0" xfId="0" applyFont="1" applyFill="1" applyAlignment="1">
      <alignment vertical="center"/>
    </xf>
    <xf numFmtId="2" fontId="2" fillId="3" borderId="2" xfId="1" applyNumberFormat="1" applyFont="1" applyFill="1" applyBorder="1" applyAlignment="1" applyProtection="1">
      <alignment horizontal="center" vertical="center"/>
      <protection locked="0"/>
    </xf>
    <xf numFmtId="175" fontId="17" fillId="10" borderId="2" xfId="10" applyNumberFormat="1" applyBorder="1" applyAlignment="1" applyProtection="1">
      <alignment horizontal="center" vertical="center"/>
      <protection locked="0"/>
    </xf>
    <xf numFmtId="168" fontId="17" fillId="10" borderId="2" xfId="10" applyNumberFormat="1" applyBorder="1" applyAlignment="1" applyProtection="1">
      <alignment horizontal="center" vertical="center"/>
      <protection locked="0"/>
    </xf>
    <xf numFmtId="0" fontId="47" fillId="4" borderId="1" xfId="1" applyFont="1" applyFill="1" applyBorder="1" applyAlignment="1">
      <alignment horizontal="left"/>
    </xf>
    <xf numFmtId="0" fontId="24" fillId="5" borderId="1" xfId="4" applyFont="1" applyBorder="1" applyAlignment="1" applyProtection="1">
      <alignment horizontal="left"/>
      <protection locked="0"/>
    </xf>
    <xf numFmtId="179" fontId="48" fillId="4" borderId="2" xfId="1" applyNumberFormat="1" applyFont="1" applyFill="1" applyBorder="1" applyAlignment="1">
      <alignment horizontal="center"/>
    </xf>
    <xf numFmtId="180" fontId="48" fillId="4" borderId="2" xfId="1" applyNumberFormat="1" applyFont="1" applyFill="1" applyBorder="1" applyAlignment="1">
      <alignment horizontal="center"/>
    </xf>
    <xf numFmtId="165" fontId="47" fillId="4" borderId="2" xfId="1" applyNumberFormat="1" applyFont="1" applyFill="1" applyBorder="1" applyAlignment="1">
      <alignment horizontal="center"/>
    </xf>
    <xf numFmtId="178" fontId="36" fillId="0" borderId="2" xfId="0" applyNumberFormat="1" applyFont="1" applyBorder="1" applyAlignment="1" applyProtection="1">
      <alignment horizontal="center" vertical="center"/>
      <protection hidden="1"/>
    </xf>
    <xf numFmtId="176" fontId="36" fillId="0" borderId="2" xfId="0" applyNumberFormat="1" applyFont="1" applyBorder="1" applyAlignment="1" applyProtection="1">
      <alignment horizontal="center" vertical="center"/>
      <protection hidden="1"/>
    </xf>
    <xf numFmtId="176" fontId="69" fillId="0" borderId="2" xfId="0" applyNumberFormat="1" applyFont="1" applyBorder="1" applyAlignment="1" applyProtection="1">
      <alignment horizontal="center"/>
      <protection hidden="1"/>
    </xf>
    <xf numFmtId="176" fontId="69" fillId="0" borderId="2" xfId="0" applyNumberFormat="1" applyFont="1" applyBorder="1" applyAlignment="1" applyProtection="1">
      <alignment horizontal="center" vertical="center"/>
      <protection hidden="1"/>
    </xf>
    <xf numFmtId="0" fontId="50" fillId="4" borderId="0" xfId="1" applyFont="1" applyFill="1" applyProtection="1">
      <protection hidden="1"/>
    </xf>
    <xf numFmtId="11" fontId="69" fillId="4" borderId="2" xfId="1" applyNumberFormat="1" applyFont="1" applyFill="1" applyBorder="1" applyAlignment="1" applyProtection="1">
      <alignment horizontal="center" vertical="center"/>
      <protection hidden="1"/>
    </xf>
    <xf numFmtId="0" fontId="43" fillId="0" borderId="2" xfId="0" applyFont="1" applyBorder="1" applyAlignment="1" applyProtection="1">
      <alignment horizontal="center"/>
      <protection hidden="1"/>
    </xf>
    <xf numFmtId="165" fontId="69" fillId="4" borderId="2" xfId="1" applyNumberFormat="1" applyFont="1" applyFill="1" applyBorder="1" applyAlignment="1" applyProtection="1">
      <alignment horizontal="center" vertical="center"/>
      <protection hidden="1"/>
    </xf>
    <xf numFmtId="167" fontId="69" fillId="4" borderId="2" xfId="1" applyNumberFormat="1" applyFont="1" applyFill="1" applyBorder="1" applyAlignment="1" applyProtection="1">
      <alignment horizontal="center" vertical="center"/>
      <protection hidden="1"/>
    </xf>
    <xf numFmtId="2" fontId="69" fillId="4" borderId="2" xfId="1" applyNumberFormat="1" applyFont="1" applyFill="1" applyBorder="1" applyAlignment="1" applyProtection="1">
      <alignment horizontal="center" vertical="center"/>
      <protection hidden="1"/>
    </xf>
    <xf numFmtId="0" fontId="69" fillId="4" borderId="1" xfId="1" applyFont="1" applyFill="1" applyBorder="1" applyAlignment="1" applyProtection="1">
      <alignment horizontal="center" vertical="center"/>
      <protection hidden="1"/>
    </xf>
    <xf numFmtId="0" fontId="50" fillId="4" borderId="2" xfId="1" applyFont="1" applyFill="1" applyBorder="1" applyAlignment="1" applyProtection="1">
      <alignment horizontal="center"/>
      <protection hidden="1"/>
    </xf>
    <xf numFmtId="168" fontId="69" fillId="4" borderId="1" xfId="1" applyNumberFormat="1" applyFont="1" applyFill="1" applyBorder="1" applyAlignment="1" applyProtection="1">
      <alignment horizontal="center" vertical="center"/>
      <protection hidden="1"/>
    </xf>
    <xf numFmtId="0" fontId="6" fillId="0" borderId="0" xfId="0" applyFont="1" applyAlignment="1">
      <alignment horizontal="center" vertical="center"/>
    </xf>
    <xf numFmtId="14" fontId="76" fillId="0" borderId="0" xfId="0" applyNumberFormat="1" applyFont="1" applyAlignment="1" applyProtection="1">
      <alignment vertical="center"/>
      <protection hidden="1"/>
    </xf>
    <xf numFmtId="0" fontId="76" fillId="0" borderId="0" xfId="0" applyFont="1" applyAlignment="1" applyProtection="1">
      <alignment horizontal="left"/>
      <protection hidden="1"/>
    </xf>
    <xf numFmtId="0" fontId="77" fillId="0" borderId="0" xfId="0" applyFont="1" applyAlignment="1" applyProtection="1">
      <alignment horizontal="left" vertical="center"/>
      <protection hidden="1"/>
    </xf>
    <xf numFmtId="0" fontId="0" fillId="9" borderId="1" xfId="8" quotePrefix="1" applyNumberFormat="1" applyFont="1" applyBorder="1" applyAlignment="1" applyProtection="1">
      <alignment horizontal="left" vertical="center"/>
      <protection locked="0"/>
    </xf>
    <xf numFmtId="0" fontId="24" fillId="4" borderId="0" xfId="4" applyFont="1" applyFill="1" applyBorder="1" applyAlignment="1">
      <alignment horizontal="center"/>
    </xf>
    <xf numFmtId="2" fontId="36" fillId="4" borderId="2" xfId="0" applyNumberFormat="1" applyFont="1" applyFill="1" applyBorder="1" applyAlignment="1" applyProtection="1">
      <alignment horizontal="center" vertical="center"/>
      <protection hidden="1"/>
    </xf>
    <xf numFmtId="176" fontId="36" fillId="4" borderId="2" xfId="0" applyNumberFormat="1" applyFont="1" applyFill="1" applyBorder="1" applyAlignment="1" applyProtection="1">
      <alignment horizontal="center" vertical="center"/>
      <protection hidden="1"/>
    </xf>
    <xf numFmtId="0" fontId="36" fillId="4" borderId="2" xfId="0" applyFont="1" applyFill="1" applyBorder="1" applyAlignment="1" applyProtection="1">
      <alignment horizontal="center"/>
      <protection hidden="1"/>
    </xf>
    <xf numFmtId="0" fontId="36" fillId="0" borderId="2" xfId="0" applyFont="1" applyBorder="1" applyAlignment="1" applyProtection="1">
      <alignment horizontal="center"/>
      <protection hidden="1"/>
    </xf>
    <xf numFmtId="176" fontId="69" fillId="0" borderId="7" xfId="0" applyNumberFormat="1" applyFont="1" applyBorder="1" applyAlignment="1" applyProtection="1">
      <alignment horizontal="center"/>
      <protection hidden="1"/>
    </xf>
    <xf numFmtId="0" fontId="76" fillId="0" borderId="0" xfId="0" applyFont="1" applyAlignment="1" applyProtection="1">
      <alignment horizontal="left" vertical="center"/>
      <protection hidden="1"/>
    </xf>
    <xf numFmtId="0" fontId="43" fillId="0" borderId="0" xfId="0" applyFont="1" applyAlignment="1" applyProtection="1">
      <alignment horizontal="right"/>
      <protection hidden="1"/>
    </xf>
    <xf numFmtId="0" fontId="43" fillId="0" borderId="0" xfId="0" applyFont="1" applyProtection="1">
      <protection hidden="1"/>
    </xf>
    <xf numFmtId="0" fontId="47" fillId="0" borderId="0" xfId="0" applyFont="1" applyProtection="1">
      <protection hidden="1"/>
    </xf>
    <xf numFmtId="2" fontId="69" fillId="4" borderId="7" xfId="1" applyNumberFormat="1" applyFont="1" applyFill="1" applyBorder="1" applyAlignment="1" applyProtection="1">
      <alignment horizontal="center" vertical="center"/>
      <protection hidden="1"/>
    </xf>
    <xf numFmtId="0" fontId="17" fillId="10" borderId="6" xfId="10" applyBorder="1" applyProtection="1">
      <protection hidden="1"/>
    </xf>
    <xf numFmtId="0" fontId="17" fillId="10" borderId="7" xfId="10" applyBorder="1" applyProtection="1">
      <protection hidden="1"/>
    </xf>
    <xf numFmtId="0" fontId="26" fillId="0" borderId="0" xfId="0" applyFont="1" applyAlignment="1" applyProtection="1">
      <alignment vertical="center"/>
      <protection hidden="1"/>
    </xf>
    <xf numFmtId="0" fontId="0" fillId="0" borderId="0" xfId="0" applyProtection="1">
      <protection hidden="1"/>
    </xf>
    <xf numFmtId="0" fontId="28" fillId="0" borderId="0" xfId="0" applyFont="1" applyProtection="1">
      <protection hidden="1"/>
    </xf>
    <xf numFmtId="0" fontId="14" fillId="0" borderId="0" xfId="0" applyFont="1" applyAlignment="1" applyProtection="1">
      <alignment vertical="center"/>
      <protection hidden="1"/>
    </xf>
    <xf numFmtId="0" fontId="29" fillId="0" borderId="0" xfId="0" applyFont="1" applyAlignment="1" applyProtection="1">
      <alignment vertical="center"/>
      <protection hidden="1"/>
    </xf>
    <xf numFmtId="0" fontId="14" fillId="0" borderId="0" xfId="0" applyFont="1" applyAlignment="1" applyProtection="1">
      <alignment horizontal="left" vertical="center"/>
      <protection hidden="1"/>
    </xf>
    <xf numFmtId="172" fontId="27" fillId="0" borderId="0" xfId="0" quotePrefix="1" applyNumberFormat="1" applyFont="1" applyAlignment="1" applyProtection="1">
      <alignment horizontal="left" vertical="center"/>
      <protection hidden="1"/>
    </xf>
    <xf numFmtId="0" fontId="14" fillId="0" borderId="0" xfId="0" applyFont="1" applyProtection="1">
      <protection hidden="1"/>
    </xf>
    <xf numFmtId="0" fontId="27" fillId="0" borderId="0" xfId="0" applyFont="1" applyAlignment="1" applyProtection="1">
      <alignment horizontal="left" vertical="center"/>
      <protection hidden="1"/>
    </xf>
    <xf numFmtId="1" fontId="27" fillId="0" borderId="0" xfId="0" applyNumberFormat="1" applyFont="1" applyAlignment="1" applyProtection="1">
      <alignment horizontal="left" vertical="center"/>
      <protection hidden="1"/>
    </xf>
    <xf numFmtId="1" fontId="27" fillId="0" borderId="0" xfId="0" applyNumberFormat="1" applyFont="1" applyAlignment="1" applyProtection="1">
      <alignment vertical="center"/>
      <protection hidden="1"/>
    </xf>
    <xf numFmtId="0" fontId="27" fillId="0" borderId="0" xfId="0" applyFont="1" applyAlignment="1" applyProtection="1">
      <alignment vertical="center"/>
      <protection hidden="1"/>
    </xf>
    <xf numFmtId="0" fontId="27" fillId="0" borderId="0" xfId="0" applyFont="1" applyAlignment="1" applyProtection="1">
      <alignment horizontal="left" vertical="center" wrapText="1"/>
      <protection hidden="1"/>
    </xf>
    <xf numFmtId="0" fontId="30" fillId="0" borderId="0" xfId="0" applyFont="1" applyAlignment="1" applyProtection="1">
      <alignment vertical="top" wrapText="1"/>
      <protection hidden="1"/>
    </xf>
    <xf numFmtId="0" fontId="29" fillId="0" borderId="0" xfId="0" applyFont="1" applyProtection="1">
      <protection hidden="1"/>
    </xf>
    <xf numFmtId="0" fontId="27" fillId="0" borderId="0" xfId="0" applyFont="1" applyAlignment="1" applyProtection="1">
      <alignment vertical="top" wrapText="1"/>
      <protection hidden="1"/>
    </xf>
    <xf numFmtId="0" fontId="27" fillId="0" borderId="0" xfId="0" applyFont="1" applyAlignment="1" applyProtection="1">
      <alignment vertical="top"/>
      <protection hidden="1"/>
    </xf>
    <xf numFmtId="0" fontId="14" fillId="0" borderId="0" xfId="0" applyFont="1" applyAlignment="1" applyProtection="1">
      <alignment vertical="top" wrapText="1"/>
      <protection hidden="1"/>
    </xf>
    <xf numFmtId="0" fontId="30" fillId="0" borderId="0" xfId="0" applyFont="1" applyProtection="1">
      <protection hidden="1"/>
    </xf>
    <xf numFmtId="0" fontId="31" fillId="0" borderId="2" xfId="0" applyFont="1" applyBorder="1" applyAlignment="1" applyProtection="1">
      <alignment horizontal="center" vertical="center" wrapText="1"/>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167" fontId="14" fillId="0" borderId="0" xfId="0" applyNumberFormat="1" applyFont="1" applyAlignment="1" applyProtection="1">
      <alignment vertical="center"/>
      <protection hidden="1"/>
    </xf>
    <xf numFmtId="2" fontId="14" fillId="0" borderId="0" xfId="0" applyNumberFormat="1" applyFont="1" applyAlignment="1" applyProtection="1">
      <alignment vertical="center"/>
      <protection hidden="1"/>
    </xf>
    <xf numFmtId="1" fontId="14" fillId="0" borderId="0" xfId="0" applyNumberFormat="1" applyFont="1" applyAlignment="1" applyProtection="1">
      <alignment horizontal="center" vertical="center"/>
      <protection hidden="1"/>
    </xf>
    <xf numFmtId="167" fontId="14" fillId="0" borderId="0" xfId="0" applyNumberFormat="1" applyFont="1" applyAlignment="1" applyProtection="1">
      <alignment horizontal="center" vertical="center"/>
      <protection hidden="1"/>
    </xf>
    <xf numFmtId="0" fontId="14" fillId="0" borderId="0" xfId="0" applyFont="1" applyAlignment="1" applyProtection="1">
      <alignment vertical="justify" wrapText="1"/>
      <protection hidden="1"/>
    </xf>
    <xf numFmtId="0" fontId="34" fillId="0" borderId="0" xfId="0" applyFont="1" applyAlignment="1" applyProtection="1">
      <alignment horizontal="center"/>
      <protection hidden="1"/>
    </xf>
    <xf numFmtId="0" fontId="14" fillId="0" borderId="8" xfId="0" applyFont="1" applyBorder="1" applyAlignment="1" applyProtection="1">
      <alignment vertical="center"/>
      <protection hidden="1"/>
    </xf>
    <xf numFmtId="0" fontId="14" fillId="0" borderId="8" xfId="0" applyFont="1" applyBorder="1" applyAlignment="1" applyProtection="1">
      <alignment vertical="center" wrapText="1"/>
      <protection hidden="1"/>
    </xf>
    <xf numFmtId="0" fontId="14" fillId="0" borderId="0" xfId="0" applyFont="1" applyAlignment="1" applyProtection="1">
      <alignment vertical="center" wrapText="1"/>
      <protection hidden="1"/>
    </xf>
    <xf numFmtId="0" fontId="30"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0" fontId="14" fillId="0" borderId="0" xfId="0" applyFont="1" applyAlignment="1" applyProtection="1">
      <alignment horizontal="justify" vertical="top" wrapText="1"/>
      <protection hidden="1"/>
    </xf>
    <xf numFmtId="0" fontId="14" fillId="0" borderId="0" xfId="0" applyFont="1" applyAlignment="1" applyProtection="1">
      <alignment horizontal="center"/>
      <protection hidden="1"/>
    </xf>
    <xf numFmtId="175" fontId="14" fillId="0" borderId="0" xfId="0" applyNumberFormat="1" applyFont="1" applyAlignment="1" applyProtection="1">
      <alignment wrapText="1"/>
      <protection hidden="1"/>
    </xf>
    <xf numFmtId="0" fontId="14" fillId="0" borderId="0" xfId="0" applyFont="1" applyAlignment="1" applyProtection="1">
      <alignment wrapText="1"/>
      <protection hidden="1"/>
    </xf>
    <xf numFmtId="168" fontId="14" fillId="0" borderId="0" xfId="0" applyNumberFormat="1" applyFont="1" applyAlignment="1" applyProtection="1">
      <alignment vertical="center"/>
      <protection hidden="1"/>
    </xf>
    <xf numFmtId="0" fontId="14" fillId="0" borderId="0" xfId="0" applyFont="1" applyAlignment="1" applyProtection="1">
      <alignment horizontal="left" wrapText="1"/>
      <protection hidden="1"/>
    </xf>
    <xf numFmtId="49" fontId="14" fillId="0" borderId="0" xfId="0" applyNumberFormat="1" applyFont="1" applyAlignment="1" applyProtection="1">
      <alignment horizontal="right" vertical="center"/>
      <protection hidden="1"/>
    </xf>
    <xf numFmtId="49" fontId="14" fillId="0" borderId="0" xfId="0" applyNumberFormat="1" applyFont="1" applyAlignment="1" applyProtection="1">
      <alignment horizontal="right" vertical="top"/>
      <protection hidden="1"/>
    </xf>
    <xf numFmtId="49" fontId="35" fillId="0" borderId="0" xfId="0" applyNumberFormat="1" applyFont="1" applyAlignment="1" applyProtection="1">
      <alignment horizontal="right" vertical="center"/>
      <protection hidden="1"/>
    </xf>
    <xf numFmtId="0" fontId="14" fillId="0" borderId="0" xfId="0" applyFont="1" applyAlignment="1" applyProtection="1">
      <alignment horizontal="justify" vertical="center" wrapText="1"/>
      <protection hidden="1"/>
    </xf>
    <xf numFmtId="0" fontId="34" fillId="0" borderId="0" xfId="0" applyFont="1" applyAlignment="1" applyProtection="1">
      <alignment horizontal="left" vertical="center"/>
      <protection hidden="1"/>
    </xf>
    <xf numFmtId="0" fontId="34" fillId="0" borderId="0" xfId="0" applyFont="1" applyAlignment="1" applyProtection="1">
      <alignment horizontal="left" vertical="top"/>
      <protection hidden="1"/>
    </xf>
    <xf numFmtId="0" fontId="34" fillId="0" borderId="0" xfId="0" applyFont="1" applyProtection="1">
      <protection hidden="1"/>
    </xf>
    <xf numFmtId="0" fontId="36" fillId="0" borderId="0" xfId="0" applyFont="1" applyProtection="1">
      <protection hidden="1"/>
    </xf>
    <xf numFmtId="0" fontId="75" fillId="0" borderId="0" xfId="0" applyFont="1" applyAlignment="1" applyProtection="1">
      <alignment horizontal="center" vertical="center"/>
      <protection hidden="1"/>
    </xf>
    <xf numFmtId="0" fontId="78" fillId="4" borderId="2"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wrapText="1"/>
      <protection hidden="1"/>
    </xf>
    <xf numFmtId="0" fontId="77" fillId="0" borderId="0" xfId="0" applyFont="1" applyAlignment="1" applyProtection="1">
      <alignment horizontal="left"/>
      <protection hidden="1"/>
    </xf>
    <xf numFmtId="0" fontId="43" fillId="4" borderId="0" xfId="0" applyFont="1" applyFill="1" applyProtection="1">
      <protection hidden="1"/>
    </xf>
    <xf numFmtId="0" fontId="78" fillId="4" borderId="7"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protection hidden="1"/>
    </xf>
    <xf numFmtId="2" fontId="36" fillId="4" borderId="44" xfId="0" applyNumberFormat="1" applyFont="1" applyFill="1" applyBorder="1" applyAlignment="1" applyProtection="1">
      <alignment vertical="center"/>
      <protection hidden="1"/>
    </xf>
    <xf numFmtId="0" fontId="77" fillId="0" borderId="0" xfId="0" applyFont="1" applyAlignment="1" applyProtection="1">
      <alignment vertical="center"/>
      <protection hidden="1"/>
    </xf>
    <xf numFmtId="0" fontId="69" fillId="4" borderId="40" xfId="7" applyFont="1" applyFill="1" applyBorder="1" applyAlignment="1" applyProtection="1">
      <alignment vertical="center"/>
      <protection hidden="1"/>
    </xf>
    <xf numFmtId="0" fontId="69" fillId="4" borderId="41" xfId="7" applyFont="1" applyFill="1" applyBorder="1" applyAlignment="1" applyProtection="1">
      <alignment vertical="center"/>
      <protection hidden="1"/>
    </xf>
    <xf numFmtId="0" fontId="69" fillId="4" borderId="42" xfId="7" applyFont="1" applyFill="1" applyBorder="1" applyAlignment="1" applyProtection="1">
      <alignment vertical="center"/>
      <protection hidden="1"/>
    </xf>
    <xf numFmtId="0" fontId="69" fillId="4" borderId="2" xfId="7" applyFont="1" applyFill="1" applyBorder="1" applyAlignment="1" applyProtection="1">
      <alignment vertical="center"/>
      <protection hidden="1"/>
    </xf>
    <xf numFmtId="0" fontId="69" fillId="4" borderId="2" xfId="7" applyFont="1" applyFill="1" applyBorder="1" applyAlignment="1" applyProtection="1">
      <alignment horizontal="center" vertical="center"/>
      <protection hidden="1"/>
    </xf>
    <xf numFmtId="0" fontId="36" fillId="0" borderId="4" xfId="0" applyFont="1" applyBorder="1" applyAlignment="1" applyProtection="1">
      <alignment vertical="center"/>
      <protection hidden="1"/>
    </xf>
    <xf numFmtId="0" fontId="36" fillId="0" borderId="4" xfId="0" applyFont="1" applyBorder="1" applyAlignment="1" applyProtection="1">
      <alignment horizontal="center" vertical="center"/>
      <protection hidden="1"/>
    </xf>
    <xf numFmtId="0" fontId="36" fillId="0" borderId="2" xfId="0" applyFont="1" applyBorder="1" applyAlignment="1" applyProtection="1">
      <alignment vertical="center"/>
      <protection hidden="1"/>
    </xf>
    <xf numFmtId="175" fontId="36" fillId="4" borderId="2" xfId="10" applyNumberFormat="1" applyFont="1" applyFill="1" applyBorder="1" applyAlignment="1" applyProtection="1">
      <alignment horizontal="center" vertical="center"/>
      <protection hidden="1"/>
    </xf>
    <xf numFmtId="0" fontId="69" fillId="4" borderId="3" xfId="7" applyFont="1" applyFill="1" applyBorder="1" applyAlignment="1" applyProtection="1">
      <alignment vertical="center"/>
      <protection hidden="1"/>
    </xf>
    <xf numFmtId="168" fontId="36" fillId="4" borderId="2" xfId="10" applyNumberFormat="1" applyFont="1" applyFill="1" applyBorder="1" applyAlignment="1" applyProtection="1">
      <alignment horizontal="center" vertical="center"/>
      <protection hidden="1"/>
    </xf>
    <xf numFmtId="0" fontId="0" fillId="0" borderId="10" xfId="0" applyBorder="1" applyProtection="1">
      <protection hidden="1"/>
    </xf>
    <xf numFmtId="0" fontId="6" fillId="0" borderId="0" xfId="0" applyFont="1" applyAlignment="1" applyProtection="1">
      <alignment horizontal="left" vertical="center"/>
      <protection hidden="1"/>
    </xf>
    <xf numFmtId="0" fontId="36" fillId="0" borderId="2" xfId="0" applyFont="1" applyBorder="1" applyAlignment="1" applyProtection="1">
      <alignment horizontal="center" vertical="center" wrapText="1"/>
      <protection hidden="1"/>
    </xf>
    <xf numFmtId="0" fontId="78" fillId="0" borderId="7" xfId="0" applyFont="1" applyBorder="1" applyAlignment="1" applyProtection="1">
      <alignment horizontal="center" vertical="center" wrapText="1"/>
      <protection hidden="1"/>
    </xf>
    <xf numFmtId="0" fontId="79" fillId="0" borderId="2" xfId="0" applyFont="1" applyBorder="1" applyAlignment="1" applyProtection="1">
      <alignment horizontal="center" vertical="center" wrapText="1"/>
      <protection hidden="1"/>
    </xf>
    <xf numFmtId="0" fontId="78" fillId="0" borderId="2" xfId="0" applyFont="1" applyBorder="1" applyAlignment="1" applyProtection="1">
      <alignment horizontal="center" vertical="center" wrapText="1"/>
      <protection hidden="1"/>
    </xf>
    <xf numFmtId="176" fontId="36" fillId="0" borderId="44" xfId="0" applyNumberFormat="1" applyFont="1" applyBorder="1" applyAlignment="1" applyProtection="1">
      <alignment vertical="center"/>
      <protection hidden="1"/>
    </xf>
    <xf numFmtId="0" fontId="70" fillId="0" borderId="2" xfId="0" applyFont="1" applyBorder="1" applyAlignment="1" applyProtection="1">
      <alignment horizontal="center" vertical="center" wrapText="1"/>
      <protection hidden="1"/>
    </xf>
    <xf numFmtId="0" fontId="69" fillId="4" borderId="0" xfId="1" applyFont="1" applyFill="1" applyProtection="1">
      <protection hidden="1"/>
    </xf>
    <xf numFmtId="0" fontId="0" fillId="0" borderId="39" xfId="0" applyBorder="1" applyProtection="1">
      <protection hidden="1"/>
    </xf>
    <xf numFmtId="0" fontId="47" fillId="4" borderId="0" xfId="1" applyFont="1" applyFill="1" applyProtection="1">
      <protection hidden="1"/>
    </xf>
    <xf numFmtId="0" fontId="36" fillId="0" borderId="10" xfId="0" applyFont="1" applyBorder="1" applyProtection="1">
      <protection hidden="1"/>
    </xf>
    <xf numFmtId="0" fontId="69" fillId="4" borderId="3" xfId="1" applyFont="1" applyFill="1" applyBorder="1" applyAlignment="1" applyProtection="1">
      <alignment horizontal="center" vertical="center" wrapText="1"/>
      <protection hidden="1"/>
    </xf>
    <xf numFmtId="0" fontId="71" fillId="4" borderId="2" xfId="0" applyFont="1" applyFill="1" applyBorder="1" applyAlignment="1" applyProtection="1">
      <alignment horizontal="center" vertical="center" wrapText="1"/>
      <protection hidden="1"/>
    </xf>
    <xf numFmtId="0" fontId="69" fillId="4" borderId="2" xfId="1" applyFont="1" applyFill="1" applyBorder="1" applyAlignment="1" applyProtection="1">
      <alignment horizontal="center" vertical="center"/>
      <protection hidden="1"/>
    </xf>
    <xf numFmtId="0" fontId="74" fillId="4" borderId="2" xfId="1" applyFont="1" applyFill="1" applyBorder="1" applyAlignment="1" applyProtection="1">
      <alignment horizontal="center" vertical="center"/>
      <protection hidden="1"/>
    </xf>
    <xf numFmtId="0" fontId="69" fillId="4" borderId="2" xfId="1" applyFont="1" applyFill="1" applyBorder="1" applyAlignment="1" applyProtection="1">
      <alignment horizontal="center" vertical="center" wrapText="1"/>
      <protection hidden="1"/>
    </xf>
    <xf numFmtId="0" fontId="69" fillId="4" borderId="1" xfId="1" applyFont="1" applyFill="1" applyBorder="1" applyAlignment="1" applyProtection="1">
      <alignment horizontal="center" vertical="center" wrapText="1"/>
      <protection hidden="1"/>
    </xf>
    <xf numFmtId="0" fontId="36" fillId="0" borderId="39" xfId="0" applyFont="1" applyBorder="1" applyAlignment="1" applyProtection="1">
      <alignment horizontal="center"/>
      <protection hidden="1"/>
    </xf>
    <xf numFmtId="49" fontId="35" fillId="0" borderId="0" xfId="0" applyNumberFormat="1" applyFont="1" applyAlignment="1" applyProtection="1">
      <alignment horizontal="center" vertical="top"/>
      <protection hidden="1"/>
    </xf>
    <xf numFmtId="49" fontId="35" fillId="0" borderId="0" xfId="0" applyNumberFormat="1" applyFont="1" applyAlignment="1" applyProtection="1">
      <alignment horizontal="right" vertical="top"/>
      <protection hidden="1"/>
    </xf>
    <xf numFmtId="1" fontId="2" fillId="3" borderId="2" xfId="1" applyNumberFormat="1" applyFont="1" applyFill="1" applyBorder="1" applyAlignment="1">
      <alignment horizontal="center" vertical="center"/>
    </xf>
    <xf numFmtId="2" fontId="2" fillId="3" borderId="2" xfId="1" applyNumberFormat="1" applyFont="1" applyFill="1" applyBorder="1" applyAlignment="1">
      <alignment horizontal="center" vertical="center"/>
    </xf>
    <xf numFmtId="0" fontId="69" fillId="4" borderId="0"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0" fillId="4" borderId="0" xfId="0" applyFill="1" applyAlignment="1">
      <alignment horizontal="left" vertical="center"/>
    </xf>
    <xf numFmtId="2" fontId="69" fillId="14" borderId="2" xfId="1" applyNumberFormat="1" applyFont="1" applyFill="1" applyBorder="1" applyAlignment="1" applyProtection="1">
      <alignment horizontal="center" vertical="center"/>
      <protection hidden="1"/>
    </xf>
    <xf numFmtId="2" fontId="36" fillId="14" borderId="2" xfId="0" applyNumberFormat="1" applyFont="1" applyFill="1" applyBorder="1" applyAlignment="1" applyProtection="1">
      <alignment horizontal="center" vertical="center"/>
      <protection hidden="1"/>
    </xf>
    <xf numFmtId="172" fontId="69" fillId="4" borderId="7" xfId="4" applyNumberFormat="1" applyFont="1" applyFill="1" applyBorder="1" applyAlignment="1" applyProtection="1">
      <alignment horizontal="center" vertical="center"/>
      <protection hidden="1"/>
    </xf>
    <xf numFmtId="0" fontId="79" fillId="0" borderId="7" xfId="0" applyFont="1" applyBorder="1" applyAlignment="1" applyProtection="1">
      <alignment horizontal="center" vertical="center" wrapText="1"/>
      <protection hidden="1"/>
    </xf>
    <xf numFmtId="0" fontId="21" fillId="0" borderId="0" xfId="0" applyFont="1" applyProtection="1">
      <protection hidden="1"/>
    </xf>
    <xf numFmtId="0" fontId="24" fillId="5" borderId="0" xfId="4" applyFont="1" applyBorder="1" applyAlignment="1" applyProtection="1">
      <alignment horizontal="center"/>
      <protection locked="0"/>
    </xf>
    <xf numFmtId="0" fontId="17" fillId="10" borderId="0" xfId="10" applyBorder="1" applyAlignment="1" applyProtection="1">
      <alignment horizontal="left"/>
      <protection hidden="1"/>
    </xf>
    <xf numFmtId="0" fontId="14" fillId="0" borderId="0" xfId="0" applyFont="1" applyAlignment="1" applyProtection="1">
      <alignment vertical="top"/>
      <protection hidden="1"/>
    </xf>
    <xf numFmtId="3" fontId="24" fillId="5" borderId="6" xfId="4" applyNumberFormat="1" applyFont="1" applyBorder="1" applyProtection="1">
      <protection locked="0"/>
    </xf>
    <xf numFmtId="0" fontId="80" fillId="0" borderId="6" xfId="9" applyFont="1" applyBorder="1" applyAlignment="1">
      <alignment vertical="center"/>
    </xf>
    <xf numFmtId="0" fontId="36" fillId="14" borderId="2" xfId="0" applyFont="1" applyFill="1" applyBorder="1" applyAlignment="1" applyProtection="1">
      <alignment horizontal="center" vertical="center" wrapText="1"/>
      <protection hidden="1"/>
    </xf>
    <xf numFmtId="0" fontId="88" fillId="0" borderId="0" xfId="0" applyFont="1" applyProtection="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left" vertical="top"/>
      <protection hidden="1"/>
    </xf>
    <xf numFmtId="0" fontId="0" fillId="0" borderId="0" xfId="0" applyAlignment="1" applyProtection="1">
      <alignment horizontal="left"/>
      <protection hidden="1"/>
    </xf>
    <xf numFmtId="0" fontId="31" fillId="0" borderId="0" xfId="0" applyFont="1" applyAlignment="1" applyProtection="1">
      <alignment horizontal="center" vertical="center" wrapText="1"/>
      <protection hidden="1"/>
    </xf>
    <xf numFmtId="1" fontId="14" fillId="0" borderId="0" xfId="0" applyNumberFormat="1" applyFont="1" applyAlignment="1" applyProtection="1">
      <alignment vertical="center"/>
      <protection hidden="1"/>
    </xf>
    <xf numFmtId="177" fontId="14" fillId="0" borderId="6" xfId="0" applyNumberFormat="1" applyFont="1" applyBorder="1" applyAlignment="1">
      <alignment wrapText="1"/>
    </xf>
    <xf numFmtId="177" fontId="14" fillId="0" borderId="7" xfId="0" applyNumberFormat="1" applyFont="1" applyBorder="1" applyAlignment="1">
      <alignment wrapText="1"/>
    </xf>
    <xf numFmtId="0" fontId="14" fillId="0" borderId="0" xfId="0" applyFont="1" applyAlignment="1" applyProtection="1">
      <alignment horizontal="center"/>
      <protection hidden="1"/>
    </xf>
    <xf numFmtId="0" fontId="14" fillId="0" borderId="0" xfId="0" applyFont="1" applyAlignment="1" applyProtection="1">
      <alignment horizontal="center" vertical="center" wrapText="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justify" vertical="top" wrapText="1"/>
      <protection hidden="1"/>
    </xf>
    <xf numFmtId="182" fontId="14" fillId="0" borderId="10" xfId="0" applyNumberFormat="1" applyFont="1" applyBorder="1" applyAlignment="1" applyProtection="1">
      <alignment horizontal="center"/>
      <protection hidden="1"/>
    </xf>
    <xf numFmtId="0" fontId="14" fillId="0" borderId="0" xfId="0" quotePrefix="1" applyFont="1" applyAlignment="1" applyProtection="1">
      <alignment horizontal="left" vertical="top" wrapText="1"/>
      <protection hidden="1"/>
    </xf>
    <xf numFmtId="0" fontId="14" fillId="0" borderId="0" xfId="0" applyFont="1" applyAlignment="1" applyProtection="1">
      <alignment horizontal="left" vertical="top" wrapText="1"/>
      <protection hidden="1"/>
    </xf>
    <xf numFmtId="0" fontId="14" fillId="0" borderId="2" xfId="0" applyFont="1" applyBorder="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177" fontId="14" fillId="0" borderId="0" xfId="0" applyNumberFormat="1" applyFont="1" applyAlignment="1" applyProtection="1">
      <alignment wrapText="1"/>
      <protection hidden="1"/>
    </xf>
    <xf numFmtId="1" fontId="14" fillId="0" borderId="0" xfId="0" applyNumberFormat="1" applyFont="1" applyAlignment="1" applyProtection="1">
      <alignment horizontal="center" vertical="center"/>
      <protection hidden="1"/>
    </xf>
    <xf numFmtId="0" fontId="34" fillId="0" borderId="0" xfId="0" applyFont="1" applyAlignment="1" applyProtection="1">
      <alignment horizontal="center"/>
      <protection hidden="1"/>
    </xf>
    <xf numFmtId="0" fontId="14" fillId="0" borderId="2" xfId="0" applyFont="1" applyBorder="1" applyAlignment="1" applyProtection="1">
      <alignment horizontal="center" vertical="center"/>
      <protection hidden="1"/>
    </xf>
    <xf numFmtId="181" fontId="14" fillId="0" borderId="2" xfId="0" applyNumberFormat="1" applyFont="1" applyBorder="1" applyAlignment="1" applyProtection="1">
      <alignment horizontal="center" vertical="center"/>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2" fontId="31" fillId="0" borderId="2" xfId="0" applyNumberFormat="1" applyFont="1" applyBorder="1" applyAlignment="1" applyProtection="1">
      <alignment horizontal="center" vertical="center" wrapText="1"/>
      <protection hidden="1"/>
    </xf>
    <xf numFmtId="0" fontId="31" fillId="0" borderId="2" xfId="0" applyFont="1" applyBorder="1" applyAlignment="1" applyProtection="1">
      <alignment horizontal="center" vertical="center" wrapText="1"/>
      <protection hidden="1"/>
    </xf>
    <xf numFmtId="1" fontId="14" fillId="0" borderId="1" xfId="0" applyNumberFormat="1" applyFont="1" applyBorder="1" applyAlignment="1" applyProtection="1">
      <alignment horizontal="center" vertical="center"/>
      <protection hidden="1"/>
    </xf>
    <xf numFmtId="172" fontId="27" fillId="0" borderId="0" xfId="0" quotePrefix="1" applyNumberFormat="1" applyFont="1" applyAlignment="1" applyProtection="1">
      <alignment horizontal="left" vertical="center"/>
      <protection hidden="1"/>
    </xf>
    <xf numFmtId="0" fontId="26" fillId="0" borderId="0" xfId="0" applyFont="1" applyAlignment="1" applyProtection="1">
      <alignment horizontal="center" vertical="center"/>
      <protection hidden="1"/>
    </xf>
    <xf numFmtId="0" fontId="27" fillId="0" borderId="0" xfId="0" applyFont="1" applyAlignment="1" applyProtection="1">
      <alignment horizontal="center" vertical="center"/>
      <protection hidden="1"/>
    </xf>
    <xf numFmtId="0" fontId="24" fillId="5" borderId="1" xfId="4" applyFont="1" applyBorder="1" applyAlignment="1" applyProtection="1">
      <alignment horizontal="left"/>
      <protection locked="0"/>
    </xf>
    <xf numFmtId="0" fontId="24" fillId="5" borderId="6" xfId="4" applyFont="1" applyBorder="1" applyAlignment="1" applyProtection="1">
      <alignment horizontal="left"/>
      <protection locked="0"/>
    </xf>
    <xf numFmtId="0" fontId="24" fillId="5" borderId="7" xfId="4" applyFont="1" applyBorder="1" applyAlignment="1" applyProtection="1">
      <alignment horizontal="left"/>
      <protection locked="0"/>
    </xf>
    <xf numFmtId="0" fontId="24" fillId="14" borderId="1" xfId="4" applyNumberFormat="1" applyFont="1" applyFill="1" applyBorder="1" applyAlignment="1" applyProtection="1">
      <alignment horizontal="left"/>
      <protection locked="0"/>
    </xf>
    <xf numFmtId="0" fontId="24" fillId="14" borderId="6" xfId="4" applyNumberFormat="1" applyFont="1" applyFill="1" applyBorder="1" applyAlignment="1" applyProtection="1">
      <alignment horizontal="left"/>
      <protection locked="0"/>
    </xf>
    <xf numFmtId="0" fontId="24" fillId="14" borderId="7" xfId="4" applyNumberFormat="1" applyFont="1" applyFill="1" applyBorder="1" applyAlignment="1" applyProtection="1">
      <alignment horizontal="left"/>
      <protection locked="0"/>
    </xf>
    <xf numFmtId="171" fontId="24" fillId="14" borderId="1" xfId="4" applyNumberFormat="1" applyFont="1" applyFill="1" applyBorder="1" applyAlignment="1" applyProtection="1">
      <alignment horizontal="left"/>
      <protection locked="0"/>
    </xf>
    <xf numFmtId="171" fontId="24" fillId="14" borderId="6" xfId="4" applyNumberFormat="1" applyFont="1" applyFill="1" applyBorder="1" applyAlignment="1" applyProtection="1">
      <alignment horizontal="left"/>
      <protection locked="0"/>
    </xf>
    <xf numFmtId="171" fontId="24" fillId="14" borderId="7" xfId="4" applyNumberFormat="1" applyFont="1" applyFill="1" applyBorder="1" applyAlignment="1" applyProtection="1">
      <alignment horizontal="left"/>
      <protection locked="0"/>
    </xf>
    <xf numFmtId="0" fontId="0" fillId="4" borderId="32" xfId="0" applyFill="1" applyBorder="1" applyAlignment="1">
      <alignment horizontal="center"/>
    </xf>
    <xf numFmtId="0" fontId="0" fillId="4" borderId="28" xfId="0" applyFill="1" applyBorder="1" applyAlignment="1">
      <alignment horizontal="center"/>
    </xf>
    <xf numFmtId="0" fontId="21" fillId="8" borderId="26" xfId="7" applyBorder="1" applyAlignment="1">
      <alignment horizontal="center" vertical="center" wrapText="1"/>
    </xf>
    <xf numFmtId="0" fontId="21" fillId="8" borderId="27" xfId="7" applyBorder="1" applyAlignment="1">
      <alignment horizontal="center" vertical="center" wrapText="1"/>
    </xf>
    <xf numFmtId="0" fontId="0" fillId="4" borderId="23" xfId="0" applyFill="1" applyBorder="1" applyAlignment="1">
      <alignment horizontal="center"/>
    </xf>
    <xf numFmtId="0" fontId="21" fillId="8" borderId="30" xfId="7" applyBorder="1" applyAlignment="1">
      <alignment horizontal="center" vertical="center"/>
    </xf>
    <xf numFmtId="0" fontId="21" fillId="8" borderId="26" xfId="7" applyBorder="1" applyAlignment="1">
      <alignment horizontal="center" vertical="center"/>
    </xf>
    <xf numFmtId="0" fontId="21" fillId="8" borderId="31" xfId="7" applyBorder="1" applyAlignment="1">
      <alignment horizontal="center" vertical="center"/>
    </xf>
    <xf numFmtId="0" fontId="21" fillId="8" borderId="27" xfId="7" applyBorder="1" applyAlignment="1">
      <alignment horizontal="center" vertical="center"/>
    </xf>
    <xf numFmtId="0" fontId="21" fillId="8" borderId="30" xfId="7" applyBorder="1" applyAlignment="1">
      <alignment horizontal="center" vertical="center" wrapText="1"/>
    </xf>
    <xf numFmtId="0" fontId="21" fillId="8" borderId="31" xfId="7" applyBorder="1" applyAlignment="1">
      <alignment horizontal="center" vertical="center" wrapText="1"/>
    </xf>
    <xf numFmtId="0" fontId="21" fillId="8" borderId="14" xfId="7" applyBorder="1" applyAlignment="1">
      <alignment horizontal="center" vertical="center"/>
    </xf>
    <xf numFmtId="0" fontId="21" fillId="8" borderId="17" xfId="7" applyBorder="1" applyAlignment="1">
      <alignment horizontal="center" vertical="center"/>
    </xf>
    <xf numFmtId="0" fontId="0" fillId="4" borderId="0" xfId="0" applyFill="1" applyAlignment="1">
      <alignment horizontal="center" vertical="center"/>
    </xf>
    <xf numFmtId="0" fontId="21" fillId="8" borderId="33" xfId="7" applyBorder="1" applyAlignment="1">
      <alignment horizontal="center" vertical="center" wrapText="1"/>
    </xf>
    <xf numFmtId="0" fontId="21" fillId="8" borderId="34" xfId="7" applyBorder="1" applyAlignment="1">
      <alignment horizontal="center" vertical="center" wrapText="1"/>
    </xf>
    <xf numFmtId="0" fontId="21" fillId="8" borderId="15" xfId="7" applyBorder="1" applyAlignment="1">
      <alignment horizontal="center" vertical="center"/>
    </xf>
    <xf numFmtId="0" fontId="21" fillId="8" borderId="18" xfId="7" applyBorder="1" applyAlignment="1">
      <alignment horizontal="center" vertical="center"/>
    </xf>
    <xf numFmtId="0" fontId="0" fillId="4" borderId="0" xfId="0" applyFill="1" applyAlignment="1">
      <alignment horizontal="left" vertical="center"/>
    </xf>
    <xf numFmtId="0" fontId="0" fillId="4" borderId="38" xfId="0" applyFill="1" applyBorder="1" applyAlignment="1">
      <alignment horizontal="left" vertical="center"/>
    </xf>
    <xf numFmtId="0" fontId="24" fillId="14" borderId="1" xfId="4" applyFont="1" applyFill="1" applyBorder="1" applyAlignment="1" applyProtection="1">
      <alignment horizontal="left"/>
      <protection locked="0"/>
    </xf>
    <xf numFmtId="0" fontId="24" fillId="14" borderId="6" xfId="4" applyFont="1" applyFill="1" applyBorder="1" applyAlignment="1" applyProtection="1">
      <alignment horizontal="left"/>
      <protection locked="0"/>
    </xf>
    <xf numFmtId="0" fontId="24" fillId="14" borderId="7" xfId="4" applyFont="1" applyFill="1" applyBorder="1" applyAlignment="1" applyProtection="1">
      <alignment horizontal="left"/>
      <protection locked="0"/>
    </xf>
    <xf numFmtId="0" fontId="21" fillId="8" borderId="36" xfId="7" applyBorder="1" applyAlignment="1">
      <alignment horizontal="center" vertical="center"/>
    </xf>
    <xf numFmtId="0" fontId="21" fillId="8" borderId="20" xfId="7" applyBorder="1" applyAlignment="1">
      <alignment horizontal="center" vertical="center"/>
    </xf>
    <xf numFmtId="0" fontId="21" fillId="8" borderId="37" xfId="7" applyBorder="1" applyAlignment="1">
      <alignment horizontal="center" vertical="center"/>
    </xf>
    <xf numFmtId="0" fontId="0" fillId="4" borderId="0" xfId="0" applyFill="1" applyAlignment="1">
      <alignment horizontal="right" vertical="center" wrapText="1"/>
    </xf>
    <xf numFmtId="0" fontId="0" fillId="4" borderId="38" xfId="0" applyFill="1" applyBorder="1" applyAlignment="1">
      <alignment horizontal="right" vertical="center" wrapText="1"/>
    </xf>
    <xf numFmtId="0" fontId="24" fillId="14" borderId="1" xfId="4" quotePrefix="1" applyNumberFormat="1" applyFont="1" applyFill="1" applyBorder="1" applyAlignment="1" applyProtection="1">
      <alignment horizontal="left"/>
      <protection locked="0"/>
    </xf>
    <xf numFmtId="0" fontId="17" fillId="10" borderId="6" xfId="10" applyBorder="1" applyAlignment="1" applyProtection="1">
      <alignment horizontal="left"/>
      <protection hidden="1"/>
    </xf>
    <xf numFmtId="0" fontId="17" fillId="10" borderId="7" xfId="10" applyBorder="1" applyAlignment="1" applyProtection="1">
      <alignment horizontal="left"/>
      <protection hidden="1"/>
    </xf>
    <xf numFmtId="0" fontId="21" fillId="8" borderId="33" xfId="7" applyBorder="1" applyAlignment="1">
      <alignment horizontal="center" vertical="center"/>
    </xf>
    <xf numFmtId="0" fontId="21" fillId="8" borderId="34" xfId="7" applyBorder="1" applyAlignment="1">
      <alignment horizontal="center" vertical="center"/>
    </xf>
    <xf numFmtId="0" fontId="22"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21" xfId="0" applyFont="1" applyFill="1" applyBorder="1" applyAlignment="1">
      <alignment horizontal="center" vertical="center"/>
    </xf>
    <xf numFmtId="0" fontId="22" fillId="4" borderId="0" xfId="0" applyFont="1" applyFill="1" applyAlignment="1">
      <alignment horizontal="center" vertical="center"/>
    </xf>
    <xf numFmtId="0" fontId="22" fillId="4" borderId="22" xfId="0" applyFont="1" applyFill="1" applyBorder="1" applyAlignment="1">
      <alignment horizontal="center" vertical="center"/>
    </xf>
    <xf numFmtId="0" fontId="22" fillId="4" borderId="17" xfId="0" applyFont="1" applyFill="1" applyBorder="1" applyAlignment="1">
      <alignment horizontal="center" vertical="center"/>
    </xf>
    <xf numFmtId="0" fontId="22" fillId="4" borderId="18" xfId="0" applyFont="1" applyFill="1" applyBorder="1" applyAlignment="1">
      <alignment horizontal="center" vertical="center"/>
    </xf>
    <xf numFmtId="0" fontId="22" fillId="4" borderId="19" xfId="0" applyFont="1" applyFill="1" applyBorder="1" applyAlignment="1">
      <alignment horizontal="center" vertical="center"/>
    </xf>
    <xf numFmtId="0" fontId="21" fillId="8" borderId="16" xfId="7" applyBorder="1" applyAlignment="1">
      <alignment horizontal="center" vertical="center"/>
    </xf>
    <xf numFmtId="0" fontId="21" fillId="8" borderId="19" xfId="7" applyBorder="1" applyAlignment="1">
      <alignment horizontal="center" vertical="center"/>
    </xf>
    <xf numFmtId="0" fontId="21" fillId="8" borderId="36" xfId="7" applyBorder="1" applyAlignment="1">
      <alignment horizontal="center"/>
    </xf>
    <xf numFmtId="0" fontId="21" fillId="8" borderId="20" xfId="7" applyBorder="1" applyAlignment="1">
      <alignment horizontal="center"/>
    </xf>
    <xf numFmtId="0" fontId="21" fillId="8" borderId="37" xfId="7" applyBorder="1" applyAlignment="1">
      <alignment horizontal="center"/>
    </xf>
    <xf numFmtId="171" fontId="24" fillId="5" borderId="1" xfId="4" applyNumberFormat="1" applyFont="1" applyBorder="1" applyAlignment="1" applyProtection="1">
      <alignment horizontal="left"/>
      <protection locked="0"/>
    </xf>
    <xf numFmtId="171" fontId="24" fillId="5" borderId="6" xfId="4" applyNumberFormat="1" applyFont="1" applyBorder="1" applyAlignment="1" applyProtection="1">
      <alignment horizontal="left"/>
      <protection locked="0"/>
    </xf>
    <xf numFmtId="171" fontId="24" fillId="5" borderId="7" xfId="4" applyNumberFormat="1" applyFont="1" applyBorder="1" applyAlignment="1" applyProtection="1">
      <alignment horizontal="left"/>
      <protection locked="0"/>
    </xf>
    <xf numFmtId="0" fontId="0" fillId="4" borderId="40" xfId="0" applyFill="1" applyBorder="1" applyAlignment="1">
      <alignment horizontal="center"/>
    </xf>
    <xf numFmtId="0" fontId="0" fillId="4" borderId="42" xfId="0" applyFill="1" applyBorder="1" applyAlignment="1">
      <alignment horizontal="center"/>
    </xf>
    <xf numFmtId="49" fontId="24" fillId="5" borderId="1" xfId="4" applyNumberFormat="1" applyFont="1" applyBorder="1" applyAlignment="1" applyProtection="1">
      <alignment horizontal="left"/>
      <protection locked="0"/>
    </xf>
    <xf numFmtId="49" fontId="24" fillId="5" borderId="6" xfId="4" applyNumberFormat="1" applyFont="1" applyBorder="1" applyAlignment="1" applyProtection="1">
      <alignment horizontal="left"/>
      <protection locked="0"/>
    </xf>
    <xf numFmtId="49" fontId="24" fillId="5" borderId="7" xfId="4" applyNumberFormat="1" applyFont="1" applyBorder="1" applyAlignment="1" applyProtection="1">
      <alignment horizontal="left"/>
      <protection locked="0"/>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12" fillId="0" borderId="0" xfId="0" applyFont="1" applyAlignment="1" applyProtection="1">
      <alignment horizontal="center" vertical="center"/>
      <protection locked="0"/>
    </xf>
    <xf numFmtId="172" fontId="17" fillId="9" borderId="1" xfId="8" applyNumberFormat="1" applyBorder="1" applyAlignment="1">
      <alignment horizontal="center" vertical="center"/>
    </xf>
    <xf numFmtId="172" fontId="17" fillId="9" borderId="7" xfId="8" applyNumberFormat="1" applyBorder="1" applyAlignment="1">
      <alignment horizontal="center" vertical="center"/>
    </xf>
    <xf numFmtId="0" fontId="17" fillId="9" borderId="1" xfId="8" applyBorder="1" applyAlignment="1">
      <alignment horizontal="center" vertical="center"/>
    </xf>
    <xf numFmtId="0" fontId="17" fillId="9" borderId="7" xfId="8" applyBorder="1" applyAlignment="1">
      <alignment horizontal="center" vertical="center"/>
    </xf>
    <xf numFmtId="0" fontId="17" fillId="9" borderId="2" xfId="8" applyBorder="1" applyAlignment="1">
      <alignment horizontal="center" vertical="center"/>
    </xf>
    <xf numFmtId="0" fontId="14" fillId="0" borderId="0" xfId="0" applyFont="1" applyAlignment="1">
      <alignment horizontal="center" vertical="center"/>
    </xf>
    <xf numFmtId="0" fontId="6" fillId="0" borderId="39" xfId="0" applyFont="1" applyBorder="1" applyAlignment="1">
      <alignment horizontal="left" vertical="center"/>
    </xf>
    <xf numFmtId="0" fontId="6" fillId="0" borderId="10" xfId="0" applyFont="1" applyBorder="1" applyAlignment="1">
      <alignment horizontal="left" vertical="center"/>
    </xf>
    <xf numFmtId="0" fontId="18" fillId="5" borderId="1" xfId="4" applyBorder="1" applyAlignment="1" applyProtection="1">
      <alignment horizontal="center" vertical="center"/>
      <protection locked="0"/>
    </xf>
    <xf numFmtId="0" fontId="18" fillId="5" borderId="7" xfId="4" applyBorder="1" applyAlignment="1" applyProtection="1">
      <alignment horizontal="center" vertical="center"/>
      <protection locked="0"/>
    </xf>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57" fillId="0" borderId="0" xfId="3" applyFont="1" applyAlignment="1" applyProtection="1">
      <alignment horizontal="center" vertical="center"/>
    </xf>
    <xf numFmtId="0" fontId="0" fillId="0" borderId="8" xfId="0" applyBorder="1" applyAlignment="1">
      <alignment horizontal="left" vertical="center"/>
    </xf>
    <xf numFmtId="0" fontId="0" fillId="0" borderId="0" xfId="0" applyAlignment="1">
      <alignment horizontal="left" vertical="center"/>
    </xf>
    <xf numFmtId="166" fontId="43" fillId="10" borderId="10" xfId="10" applyNumberFormat="1" applyFont="1" applyBorder="1" applyAlignment="1">
      <alignment horizontal="center" vertical="center"/>
    </xf>
    <xf numFmtId="166" fontId="43" fillId="10" borderId="11" xfId="10" applyNumberFormat="1" applyFont="1" applyBorder="1" applyAlignment="1">
      <alignment horizontal="center" vertical="center"/>
    </xf>
    <xf numFmtId="0" fontId="47" fillId="4" borderId="2" xfId="0" applyFont="1" applyFill="1" applyBorder="1" applyAlignment="1">
      <alignment horizontal="center" vertical="center" wrapText="1"/>
    </xf>
    <xf numFmtId="0" fontId="47" fillId="4" borderId="12" xfId="0" applyFont="1" applyFill="1" applyBorder="1" applyAlignment="1">
      <alignment horizontal="center" vertical="center" wrapText="1"/>
    </xf>
    <xf numFmtId="0" fontId="47" fillId="4" borderId="39" xfId="0" applyFont="1" applyFill="1" applyBorder="1" applyAlignment="1">
      <alignment horizontal="center" vertical="center" wrapText="1"/>
    </xf>
    <xf numFmtId="0" fontId="47" fillId="4" borderId="13" xfId="0" applyFont="1" applyFill="1" applyBorder="1" applyAlignment="1">
      <alignment horizontal="center" vertical="center" wrapText="1"/>
    </xf>
    <xf numFmtId="0" fontId="47" fillId="4" borderId="9" xfId="0" applyFont="1" applyFill="1" applyBorder="1" applyAlignment="1">
      <alignment horizontal="center" vertical="center" wrapText="1"/>
    </xf>
    <xf numFmtId="0" fontId="47" fillId="4" borderId="10" xfId="0" applyFont="1" applyFill="1" applyBorder="1" applyAlignment="1">
      <alignment horizontal="center" vertical="center" wrapText="1"/>
    </xf>
    <xf numFmtId="0" fontId="47" fillId="4" borderId="11" xfId="0" applyFont="1" applyFill="1" applyBorder="1" applyAlignment="1">
      <alignment horizontal="center" vertical="center" wrapText="1"/>
    </xf>
    <xf numFmtId="0" fontId="62" fillId="4" borderId="2" xfId="0" applyFont="1" applyFill="1" applyBorder="1" applyAlignment="1">
      <alignment horizontal="center" vertical="center" wrapText="1"/>
    </xf>
    <xf numFmtId="0" fontId="62" fillId="4" borderId="3" xfId="0" applyFont="1" applyFill="1" applyBorder="1" applyAlignment="1">
      <alignment horizontal="center" vertical="center" wrapText="1"/>
    </xf>
    <xf numFmtId="0" fontId="47" fillId="4" borderId="3" xfId="1" applyFont="1" applyFill="1" applyBorder="1" applyAlignment="1">
      <alignment horizontal="center" vertical="center" wrapText="1"/>
    </xf>
    <xf numFmtId="0" fontId="47" fillId="4" borderId="4" xfId="1" applyFont="1" applyFill="1" applyBorder="1" applyAlignment="1">
      <alignment horizontal="center" vertical="center" wrapText="1"/>
    </xf>
    <xf numFmtId="172" fontId="47" fillId="4" borderId="1" xfId="1" applyNumberFormat="1" applyFont="1" applyFill="1" applyBorder="1" applyAlignment="1">
      <alignment horizontal="left"/>
    </xf>
    <xf numFmtId="172" fontId="47" fillId="4" borderId="6" xfId="1" applyNumberFormat="1" applyFont="1" applyFill="1" applyBorder="1" applyAlignment="1">
      <alignment horizontal="left"/>
    </xf>
    <xf numFmtId="0" fontId="47" fillId="4" borderId="1" xfId="1" applyFont="1" applyFill="1" applyBorder="1" applyAlignment="1">
      <alignment horizontal="center" vertical="center" wrapText="1"/>
    </xf>
    <xf numFmtId="0" fontId="49" fillId="4" borderId="0" xfId="0" applyFont="1" applyFill="1" applyAlignment="1">
      <alignment horizontal="center" vertical="center"/>
    </xf>
    <xf numFmtId="0" fontId="53" fillId="4" borderId="0" xfId="0" applyFont="1" applyFill="1" applyAlignment="1">
      <alignment horizontal="center" vertical="center"/>
    </xf>
    <xf numFmtId="0" fontId="36" fillId="0" borderId="0" xfId="0" applyFont="1" applyAlignment="1">
      <alignment horizontal="center"/>
    </xf>
    <xf numFmtId="0" fontId="52" fillId="4" borderId="0" xfId="3" applyFont="1" applyFill="1" applyAlignment="1" applyProtection="1">
      <alignment horizontal="center" vertical="center"/>
    </xf>
    <xf numFmtId="0" fontId="47" fillId="4" borderId="2" xfId="1" applyFont="1" applyFill="1" applyBorder="1" applyAlignment="1">
      <alignment horizontal="center" vertical="center" wrapText="1"/>
    </xf>
    <xf numFmtId="0" fontId="46" fillId="4" borderId="0" xfId="1" applyFont="1" applyFill="1"/>
    <xf numFmtId="0" fontId="47" fillId="4" borderId="0" xfId="1" applyFont="1" applyFill="1" applyAlignment="1">
      <alignment horizontal="left"/>
    </xf>
    <xf numFmtId="166" fontId="43" fillId="10" borderId="0" xfId="10" applyNumberFormat="1" applyFont="1" applyAlignment="1">
      <alignment horizontal="center" vertical="center"/>
    </xf>
    <xf numFmtId="166" fontId="43" fillId="10" borderId="38" xfId="10" applyNumberFormat="1" applyFont="1" applyBorder="1" applyAlignment="1">
      <alignment horizontal="center" vertical="center"/>
    </xf>
    <xf numFmtId="0" fontId="43" fillId="10" borderId="41" xfId="10" applyFont="1" applyBorder="1" applyAlignment="1">
      <alignment horizontal="center" vertical="center" wrapText="1"/>
    </xf>
    <xf numFmtId="0" fontId="43" fillId="10" borderId="42" xfId="10" applyFont="1" applyBorder="1" applyAlignment="1">
      <alignment horizontal="center" vertical="center" wrapText="1"/>
    </xf>
    <xf numFmtId="0" fontId="45" fillId="4" borderId="0" xfId="1" applyFont="1" applyFill="1"/>
    <xf numFmtId="0" fontId="48" fillId="4" borderId="3" xfId="1" applyFont="1" applyFill="1" applyBorder="1" applyAlignment="1">
      <alignment horizontal="center" vertical="center" wrapText="1"/>
    </xf>
    <xf numFmtId="0" fontId="48" fillId="4" borderId="4" xfId="1" applyFont="1" applyFill="1" applyBorder="1" applyAlignment="1">
      <alignment horizontal="center" vertical="center" wrapText="1"/>
    </xf>
    <xf numFmtId="0" fontId="47" fillId="12" borderId="1" xfId="1" applyFont="1" applyFill="1" applyBorder="1" applyAlignment="1">
      <alignment horizontal="center" vertical="center" wrapText="1"/>
    </xf>
    <xf numFmtId="0" fontId="47" fillId="12" borderId="6" xfId="1" applyFont="1" applyFill="1" applyBorder="1" applyAlignment="1">
      <alignment horizontal="center" vertical="center" wrapText="1"/>
    </xf>
    <xf numFmtId="0" fontId="47" fillId="12" borderId="7" xfId="1" applyFont="1" applyFill="1" applyBorder="1" applyAlignment="1">
      <alignment horizontal="center" vertical="center" wrapText="1"/>
    </xf>
    <xf numFmtId="0" fontId="47" fillId="12" borderId="3" xfId="1" applyFont="1" applyFill="1" applyBorder="1" applyAlignment="1">
      <alignment horizontal="center" vertical="center" wrapText="1"/>
    </xf>
    <xf numFmtId="0" fontId="47" fillId="12" borderId="4" xfId="1" applyFont="1" applyFill="1" applyBorder="1" applyAlignment="1">
      <alignment horizontal="center" vertical="center" wrapText="1"/>
    </xf>
    <xf numFmtId="0" fontId="47" fillId="4" borderId="2" xfId="1" applyFont="1" applyFill="1" applyBorder="1" applyAlignment="1">
      <alignment horizontal="center"/>
    </xf>
    <xf numFmtId="0" fontId="69" fillId="4" borderId="0" xfId="4" applyFont="1" applyFill="1" applyBorder="1" applyAlignment="1" applyProtection="1">
      <alignment horizontal="center" vertical="center"/>
      <protection hidden="1"/>
    </xf>
    <xf numFmtId="0" fontId="43" fillId="0" borderId="2" xfId="0" applyFont="1" applyBorder="1" applyAlignment="1" applyProtection="1">
      <alignment horizontal="center" vertical="center"/>
      <protection hidden="1"/>
    </xf>
    <xf numFmtId="166" fontId="69" fillId="4" borderId="1" xfId="8" applyNumberFormat="1" applyFont="1" applyFill="1" applyBorder="1" applyAlignment="1" applyProtection="1">
      <alignment horizontal="center" vertical="center"/>
      <protection hidden="1"/>
    </xf>
    <xf numFmtId="166" fontId="69" fillId="4" borderId="7" xfId="8" applyNumberFormat="1" applyFont="1" applyFill="1" applyBorder="1" applyAlignment="1" applyProtection="1">
      <alignment horizontal="center" vertical="center"/>
      <protection hidden="1"/>
    </xf>
    <xf numFmtId="1" fontId="69" fillId="4" borderId="7" xfId="8" applyNumberFormat="1" applyFont="1" applyFill="1" applyBorder="1" applyAlignment="1" applyProtection="1">
      <alignment horizontal="center" vertical="center"/>
      <protection hidden="1"/>
    </xf>
    <xf numFmtId="0" fontId="69" fillId="4" borderId="1"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68" fillId="0" borderId="0" xfId="0" applyFont="1" applyAlignment="1" applyProtection="1">
      <alignment horizontal="center" vertical="top"/>
      <protection hidden="1"/>
    </xf>
    <xf numFmtId="0" fontId="76" fillId="0" borderId="0" xfId="0" applyFont="1" applyAlignment="1" applyProtection="1">
      <alignment horizontal="left" vertical="center"/>
      <protection hidden="1"/>
    </xf>
    <xf numFmtId="49" fontId="76" fillId="0" borderId="0" xfId="0" applyNumberFormat="1" applyFont="1" applyAlignment="1" applyProtection="1">
      <alignment horizontal="left" vertical="center"/>
      <protection hidden="1"/>
    </xf>
    <xf numFmtId="169" fontId="76" fillId="0" borderId="0" xfId="0" applyNumberFormat="1" applyFont="1" applyAlignment="1" applyProtection="1">
      <alignment horizontal="left" vertical="center"/>
      <protection hidden="1"/>
    </xf>
    <xf numFmtId="0" fontId="43" fillId="0" borderId="2" xfId="0" applyFont="1" applyBorder="1" applyAlignment="1" applyProtection="1">
      <alignment horizontal="center"/>
      <protection hidden="1"/>
    </xf>
    <xf numFmtId="0" fontId="43" fillId="0" borderId="39" xfId="0" applyFont="1" applyBorder="1" applyAlignment="1" applyProtection="1">
      <alignment horizontal="center"/>
      <protection hidden="1"/>
    </xf>
    <xf numFmtId="0" fontId="47" fillId="4" borderId="2" xfId="0" applyFont="1" applyFill="1" applyBorder="1" applyAlignment="1" applyProtection="1">
      <alignment horizontal="center" vertical="center" wrapText="1"/>
      <protection hidden="1"/>
    </xf>
    <xf numFmtId="0" fontId="36" fillId="0" borderId="0" xfId="0" applyFont="1" applyAlignment="1" applyProtection="1">
      <alignment horizontal="center" wrapText="1"/>
      <protection hidden="1"/>
    </xf>
    <xf numFmtId="0" fontId="36" fillId="0" borderId="10" xfId="0" applyFont="1" applyBorder="1" applyAlignment="1" applyProtection="1">
      <alignment horizontal="center" wrapText="1"/>
      <protection hidden="1"/>
    </xf>
    <xf numFmtId="0" fontId="26" fillId="0" borderId="0" xfId="0" applyFont="1" applyAlignment="1">
      <alignment horizontal="center" vertical="center"/>
    </xf>
    <xf numFmtId="0" fontId="27" fillId="0" borderId="0" xfId="0" applyFont="1" applyAlignment="1">
      <alignment horizontal="center" vertical="center"/>
    </xf>
    <xf numFmtId="172" fontId="27" fillId="0" borderId="0" xfId="0" quotePrefix="1" applyNumberFormat="1" applyFont="1" applyAlignment="1">
      <alignment horizontal="left" vertical="center"/>
    </xf>
    <xf numFmtId="0" fontId="14" fillId="0" borderId="0" xfId="0" applyFont="1" applyAlignment="1">
      <alignment horizontal="justify" vertical="justify" wrapText="1"/>
    </xf>
    <xf numFmtId="0" fontId="34" fillId="0" borderId="0" xfId="0" applyFont="1" applyAlignment="1">
      <alignment horizontal="center"/>
    </xf>
    <xf numFmtId="0" fontId="14" fillId="0" borderId="2" xfId="0" applyFont="1" applyBorder="1" applyAlignment="1">
      <alignment horizontal="center" vertical="center"/>
    </xf>
    <xf numFmtId="0" fontId="14" fillId="0" borderId="2" xfId="0" applyFont="1" applyBorder="1" applyAlignment="1">
      <alignment horizontal="center" vertical="center" wrapText="1"/>
    </xf>
    <xf numFmtId="177" fontId="14" fillId="0" borderId="0" xfId="0" applyNumberFormat="1" applyFont="1" applyAlignment="1">
      <alignment wrapText="1"/>
    </xf>
    <xf numFmtId="0" fontId="14" fillId="0" borderId="0" xfId="0" applyFont="1" applyAlignment="1">
      <alignment horizontal="left" wrapText="1"/>
    </xf>
    <xf numFmtId="0" fontId="14" fillId="0" borderId="0" xfId="0" applyFont="1" applyAlignment="1">
      <alignment horizontal="left" vertical="center"/>
    </xf>
    <xf numFmtId="0" fontId="14" fillId="0" borderId="0" xfId="0" applyFont="1" applyAlignment="1">
      <alignment horizontal="center" vertical="top"/>
    </xf>
    <xf numFmtId="0" fontId="66" fillId="0" borderId="10" xfId="0" applyFont="1" applyBorder="1" applyAlignment="1">
      <alignment horizontal="center" vertical="top"/>
    </xf>
    <xf numFmtId="0" fontId="67" fillId="0" borderId="10" xfId="0" applyFont="1" applyBorder="1" applyAlignment="1">
      <alignment horizontal="center" vertical="top"/>
    </xf>
    <xf numFmtId="0" fontId="14" fillId="0" borderId="0" xfId="0" applyFont="1" applyAlignment="1">
      <alignment horizontal="justify" vertical="top" wrapText="1"/>
    </xf>
    <xf numFmtId="0" fontId="27" fillId="0" borderId="0" xfId="0" applyFont="1" applyAlignment="1">
      <alignment horizontal="center" vertical="center" wrapText="1"/>
    </xf>
    <xf numFmtId="1" fontId="14" fillId="0" borderId="2" xfId="0" applyNumberFormat="1" applyFont="1" applyBorder="1" applyAlignment="1">
      <alignment horizontal="center" vertical="center"/>
    </xf>
    <xf numFmtId="1" fontId="14" fillId="0" borderId="1" xfId="0" applyNumberFormat="1" applyFont="1" applyBorder="1" applyAlignment="1">
      <alignment horizontal="center" vertical="center"/>
    </xf>
    <xf numFmtId="1" fontId="14" fillId="0" borderId="7" xfId="0" applyNumberFormat="1" applyFont="1" applyBorder="1" applyAlignment="1">
      <alignment horizontal="center" vertical="center"/>
    </xf>
    <xf numFmtId="1" fontId="14" fillId="0" borderId="6" xfId="0" applyNumberFormat="1" applyFont="1" applyBorder="1" applyAlignment="1">
      <alignment horizontal="center" vertical="center"/>
    </xf>
    <xf numFmtId="0" fontId="31" fillId="0" borderId="1"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9"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1" xfId="0" applyFont="1" applyBorder="1" applyAlignment="1">
      <alignment horizontal="center" vertical="center" wrapText="1"/>
    </xf>
    <xf numFmtId="167" fontId="14" fillId="0" borderId="0" xfId="0" applyNumberFormat="1" applyFont="1" applyAlignment="1">
      <alignment horizontal="center" vertical="center"/>
    </xf>
    <xf numFmtId="2" fontId="14" fillId="0" borderId="2" xfId="0" applyNumberFormat="1" applyFont="1" applyBorder="1" applyAlignment="1">
      <alignment horizontal="center" vertical="center"/>
    </xf>
    <xf numFmtId="2" fontId="14" fillId="0" borderId="1" xfId="0" applyNumberFormat="1" applyFont="1" applyBorder="1" applyAlignment="1">
      <alignment horizontal="center" vertical="center"/>
    </xf>
    <xf numFmtId="2" fontId="14" fillId="0" borderId="7" xfId="0" applyNumberFormat="1" applyFont="1" applyBorder="1" applyAlignment="1">
      <alignment horizontal="center" vertical="center"/>
    </xf>
    <xf numFmtId="2" fontId="14" fillId="0" borderId="6"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6" xfId="0" applyNumberFormat="1" applyFont="1" applyBorder="1" applyAlignment="1">
      <alignment horizontal="center" vertical="center"/>
    </xf>
    <xf numFmtId="49" fontId="14" fillId="0" borderId="7" xfId="0" applyNumberFormat="1" applyFont="1" applyBorder="1" applyAlignment="1">
      <alignment horizontal="center" vertical="center"/>
    </xf>
    <xf numFmtId="2" fontId="14" fillId="0" borderId="0" xfId="0" applyNumberFormat="1" applyFont="1" applyAlignment="1">
      <alignment horizontal="center" vertical="center"/>
    </xf>
    <xf numFmtId="168" fontId="14" fillId="0" borderId="0" xfId="0" applyNumberFormat="1"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xf>
    <xf numFmtId="0" fontId="14" fillId="0" borderId="0" xfId="0" applyFont="1" applyAlignment="1">
      <alignment horizontal="center" wrapText="1"/>
    </xf>
    <xf numFmtId="168" fontId="14" fillId="0" borderId="2" xfId="0" applyNumberFormat="1" applyFont="1" applyBorder="1" applyAlignment="1" applyProtection="1">
      <alignment horizontal="center" vertical="center"/>
      <protection hidden="1"/>
    </xf>
    <xf numFmtId="2" fontId="14" fillId="0" borderId="1" xfId="0" applyNumberFormat="1" applyFont="1" applyBorder="1" applyAlignment="1" applyProtection="1">
      <alignment horizontal="center" vertical="center"/>
      <protection hidden="1"/>
    </xf>
    <xf numFmtId="2" fontId="14" fillId="0" borderId="7" xfId="0" applyNumberFormat="1" applyFont="1" applyBorder="1" applyAlignment="1" applyProtection="1">
      <alignment horizontal="center" vertical="center"/>
      <protection hidden="1"/>
    </xf>
    <xf numFmtId="2" fontId="14" fillId="0" borderId="6" xfId="0" applyNumberFormat="1" applyFont="1" applyBorder="1" applyAlignment="1" applyProtection="1">
      <alignment horizontal="center" vertical="center"/>
      <protection hidden="1"/>
    </xf>
    <xf numFmtId="49" fontId="14" fillId="0" borderId="1" xfId="0" applyNumberFormat="1" applyFont="1" applyBorder="1" applyAlignment="1" applyProtection="1">
      <alignment horizontal="center" vertical="center"/>
      <protection hidden="1"/>
    </xf>
    <xf numFmtId="49" fontId="14" fillId="0" borderId="6" xfId="0" applyNumberFormat="1" applyFont="1" applyBorder="1" applyAlignment="1" applyProtection="1">
      <alignment horizontal="center" vertical="center"/>
      <protection hidden="1"/>
    </xf>
    <xf numFmtId="49" fontId="14" fillId="0" borderId="7" xfId="0" applyNumberFormat="1" applyFont="1" applyBorder="1" applyAlignment="1" applyProtection="1">
      <alignment horizontal="center" vertical="center"/>
      <protection hidden="1"/>
    </xf>
    <xf numFmtId="0" fontId="31" fillId="0" borderId="1" xfId="0" applyFont="1" applyBorder="1" applyAlignment="1" applyProtection="1">
      <alignment horizontal="center" vertical="center" wrapText="1"/>
      <protection hidden="1"/>
    </xf>
    <xf numFmtId="0" fontId="31" fillId="0" borderId="6" xfId="0" applyFont="1" applyBorder="1" applyAlignment="1" applyProtection="1">
      <alignment horizontal="center" vertical="center" wrapText="1"/>
      <protection hidden="1"/>
    </xf>
    <xf numFmtId="0" fontId="31" fillId="0" borderId="7" xfId="0" applyFont="1" applyBorder="1" applyAlignment="1" applyProtection="1">
      <alignment horizontal="center" vertical="center" wrapText="1"/>
      <protection hidden="1"/>
    </xf>
    <xf numFmtId="0" fontId="31" fillId="0" borderId="12" xfId="0" applyFont="1" applyBorder="1" applyAlignment="1" applyProtection="1">
      <alignment horizontal="center" vertical="center" wrapText="1"/>
      <protection hidden="1"/>
    </xf>
    <xf numFmtId="0" fontId="31" fillId="0" borderId="39" xfId="0" applyFont="1" applyBorder="1" applyAlignment="1" applyProtection="1">
      <alignment horizontal="center" vertical="center" wrapText="1"/>
      <protection hidden="1"/>
    </xf>
    <xf numFmtId="0" fontId="31" fillId="0" borderId="13" xfId="0" applyFont="1" applyBorder="1" applyAlignment="1" applyProtection="1">
      <alignment horizontal="center" vertical="center" wrapText="1"/>
      <protection hidden="1"/>
    </xf>
    <xf numFmtId="0" fontId="31" fillId="0" borderId="9" xfId="0" applyFont="1" applyBorder="1" applyAlignment="1" applyProtection="1">
      <alignment horizontal="center" vertical="center" wrapText="1"/>
      <protection hidden="1"/>
    </xf>
    <xf numFmtId="0" fontId="31" fillId="0" borderId="10" xfId="0" applyFont="1" applyBorder="1" applyAlignment="1" applyProtection="1">
      <alignment horizontal="center" vertical="center" wrapText="1"/>
      <protection hidden="1"/>
    </xf>
    <xf numFmtId="0" fontId="31" fillId="0" borderId="11" xfId="0" applyFont="1" applyBorder="1" applyAlignment="1" applyProtection="1">
      <alignment horizontal="center" vertical="center" wrapText="1"/>
      <protection hidden="1"/>
    </xf>
    <xf numFmtId="1" fontId="14" fillId="0" borderId="7" xfId="0" applyNumberFormat="1" applyFont="1" applyBorder="1" applyAlignment="1" applyProtection="1">
      <alignment horizontal="center" vertical="center"/>
      <protection hidden="1"/>
    </xf>
    <xf numFmtId="1" fontId="14" fillId="0" borderId="6" xfId="0" applyNumberFormat="1" applyFont="1" applyBorder="1" applyAlignment="1" applyProtection="1">
      <alignment horizontal="center" vertical="center"/>
      <protection hidden="1"/>
    </xf>
    <xf numFmtId="0" fontId="14" fillId="0" borderId="0" xfId="0" applyFont="1" applyAlignment="1" applyProtection="1">
      <alignment horizontal="left" vertical="center"/>
      <protection hidden="1"/>
    </xf>
    <xf numFmtId="0" fontId="14" fillId="0" borderId="0" xfId="0" applyFont="1" applyAlignment="1" applyProtection="1">
      <alignment horizontal="center" wrapText="1"/>
      <protection hidden="1"/>
    </xf>
    <xf numFmtId="0" fontId="14" fillId="0" borderId="0" xfId="0" applyFont="1" applyAlignment="1" applyProtection="1">
      <alignment horizontal="left" wrapText="1"/>
      <protection hidden="1"/>
    </xf>
    <xf numFmtId="0" fontId="38" fillId="0" borderId="0" xfId="9" applyFont="1" applyAlignment="1">
      <alignment horizontal="center" vertical="center"/>
    </xf>
    <xf numFmtId="0" fontId="27" fillId="0" borderId="0" xfId="9" applyFont="1" applyAlignment="1">
      <alignment horizontal="right" vertical="center"/>
    </xf>
    <xf numFmtId="0" fontId="39" fillId="0" borderId="0" xfId="1" applyFont="1" applyAlignment="1">
      <alignment horizontal="center"/>
    </xf>
    <xf numFmtId="0" fontId="40" fillId="0" borderId="0" xfId="1" applyFont="1" applyAlignment="1">
      <alignment horizontal="center" vertical="center"/>
    </xf>
    <xf numFmtId="0" fontId="41" fillId="0" borderId="0" xfId="1" applyFont="1" applyAlignment="1">
      <alignment horizontal="center"/>
    </xf>
    <xf numFmtId="0" fontId="27" fillId="0" borderId="0" xfId="9" applyFont="1" applyAlignment="1">
      <alignment horizontal="left" vertical="center"/>
    </xf>
    <xf numFmtId="0" fontId="27" fillId="0" borderId="0" xfId="9" applyFont="1" applyAlignment="1">
      <alignment horizontal="center" vertical="center" wrapText="1"/>
    </xf>
    <xf numFmtId="0" fontId="14" fillId="0" borderId="1" xfId="9" applyFont="1" applyBorder="1" applyAlignment="1">
      <alignment horizontal="center"/>
    </xf>
    <xf numFmtId="0" fontId="14" fillId="0" borderId="6" xfId="9" applyFont="1" applyBorder="1" applyAlignment="1">
      <alignment horizontal="center"/>
    </xf>
    <xf numFmtId="0" fontId="14" fillId="0" borderId="7" xfId="9" applyFont="1" applyBorder="1" applyAlignment="1">
      <alignment horizontal="center"/>
    </xf>
    <xf numFmtId="0" fontId="80" fillId="0" borderId="1" xfId="9" applyFont="1" applyBorder="1" applyAlignment="1">
      <alignment horizontal="center"/>
    </xf>
    <xf numFmtId="0" fontId="80" fillId="0" borderId="6" xfId="9" applyFont="1" applyBorder="1" applyAlignment="1">
      <alignment horizontal="center"/>
    </xf>
    <xf numFmtId="0" fontId="80" fillId="0" borderId="7" xfId="9" applyFont="1" applyBorder="1" applyAlignment="1">
      <alignment horizontal="center"/>
    </xf>
    <xf numFmtId="0" fontId="80" fillId="0" borderId="1" xfId="9" applyFont="1" applyBorder="1" applyAlignment="1">
      <alignment horizontal="center" vertical="center" wrapText="1"/>
    </xf>
    <xf numFmtId="0" fontId="80" fillId="0" borderId="6" xfId="9" applyFont="1" applyBorder="1" applyAlignment="1">
      <alignment horizontal="center" vertical="center" wrapText="1"/>
    </xf>
    <xf numFmtId="0" fontId="80" fillId="0" borderId="7" xfId="9" applyFont="1" applyBorder="1" applyAlignment="1">
      <alignment horizontal="center" vertical="center" wrapText="1"/>
    </xf>
    <xf numFmtId="0" fontId="14" fillId="0" borderId="6" xfId="9" quotePrefix="1" applyFont="1" applyBorder="1" applyAlignment="1">
      <alignment horizontal="left" vertical="center"/>
    </xf>
    <xf numFmtId="174" fontId="42" fillId="0" borderId="6" xfId="1" applyNumberFormat="1" applyFont="1" applyBorder="1" applyAlignment="1">
      <alignment horizontal="left"/>
    </xf>
    <xf numFmtId="0" fontId="14" fillId="0" borderId="1" xfId="9" applyFont="1" applyBorder="1" applyAlignment="1">
      <alignment horizontal="center" vertical="center"/>
    </xf>
    <xf numFmtId="0" fontId="14" fillId="0" borderId="6" xfId="9" applyFont="1" applyBorder="1" applyAlignment="1">
      <alignment horizontal="center" vertical="center"/>
    </xf>
    <xf numFmtId="0" fontId="14" fillId="0" borderId="7" xfId="9" applyFont="1" applyBorder="1" applyAlignment="1">
      <alignment horizontal="center" vertical="center"/>
    </xf>
    <xf numFmtId="0" fontId="14" fillId="0" borderId="1" xfId="9" applyFont="1" applyBorder="1" applyAlignment="1">
      <alignment horizontal="center" vertical="center" wrapText="1"/>
    </xf>
    <xf numFmtId="0" fontId="14" fillId="0" borderId="6" xfId="9" applyFont="1" applyBorder="1" applyAlignment="1">
      <alignment horizontal="center" vertical="center" wrapText="1"/>
    </xf>
    <xf numFmtId="0" fontId="14" fillId="0" borderId="7" xfId="9" applyFont="1" applyBorder="1" applyAlignment="1">
      <alignment horizontal="center" vertical="center" wrapText="1"/>
    </xf>
    <xf numFmtId="0" fontId="14" fillId="0" borderId="1" xfId="9" applyFont="1" applyBorder="1" applyAlignment="1">
      <alignment horizontal="center" vertical="top" wrapText="1"/>
    </xf>
    <xf numFmtId="0" fontId="14" fillId="0" borderId="6" xfId="9" applyFont="1" applyBorder="1" applyAlignment="1">
      <alignment horizontal="center" vertical="top" wrapText="1"/>
    </xf>
    <xf numFmtId="0" fontId="14" fillId="0" borderId="7" xfId="9" applyFont="1" applyBorder="1" applyAlignment="1">
      <alignment horizontal="center" vertical="top" wrapText="1"/>
    </xf>
    <xf numFmtId="0" fontId="14" fillId="0" borderId="1" xfId="0" applyFont="1" applyBorder="1" applyAlignment="1">
      <alignment horizontal="center" wrapText="1"/>
    </xf>
    <xf numFmtId="0" fontId="14" fillId="0" borderId="6" xfId="0" applyFont="1" applyBorder="1" applyAlignment="1">
      <alignment horizontal="center" wrapText="1"/>
    </xf>
    <xf numFmtId="0" fontId="14" fillId="0" borderId="7" xfId="0" applyFont="1" applyBorder="1" applyAlignment="1">
      <alignment horizontal="center" wrapText="1"/>
    </xf>
    <xf numFmtId="177" fontId="14" fillId="0" borderId="1" xfId="0" applyNumberFormat="1" applyFont="1" applyBorder="1" applyAlignment="1">
      <alignment horizontal="center" wrapText="1"/>
    </xf>
    <xf numFmtId="177" fontId="14" fillId="0" borderId="6" xfId="0" applyNumberFormat="1" applyFont="1" applyBorder="1" applyAlignment="1">
      <alignment horizontal="center" wrapText="1"/>
    </xf>
    <xf numFmtId="0" fontId="27" fillId="0" borderId="0" xfId="9" applyFont="1" applyAlignment="1">
      <alignment horizontal="center" vertical="center"/>
    </xf>
    <xf numFmtId="0" fontId="30" fillId="0" borderId="1" xfId="9" applyFont="1" applyBorder="1" applyAlignment="1">
      <alignment horizontal="center"/>
    </xf>
    <xf numFmtId="0" fontId="30" fillId="0" borderId="6" xfId="9" applyFont="1" applyBorder="1" applyAlignment="1">
      <alignment horizontal="center"/>
    </xf>
    <xf numFmtId="0" fontId="30" fillId="0" borderId="7" xfId="9" applyFont="1" applyBorder="1" applyAlignment="1">
      <alignment horizontal="center"/>
    </xf>
    <xf numFmtId="0" fontId="14" fillId="0" borderId="0" xfId="9" applyFont="1" applyAlignment="1">
      <alignment horizontal="center" vertical="center"/>
    </xf>
    <xf numFmtId="17" fontId="80" fillId="0" borderId="1" xfId="9" applyNumberFormat="1" applyFont="1" applyBorder="1" applyAlignment="1">
      <alignment horizontal="center"/>
    </xf>
    <xf numFmtId="167" fontId="14" fillId="0" borderId="0" xfId="9" applyNumberFormat="1" applyFont="1" applyAlignment="1">
      <alignment horizontal="center" vertical="center"/>
    </xf>
    <xf numFmtId="2" fontId="14" fillId="0" borderId="0" xfId="9" applyNumberFormat="1" applyFont="1" applyAlignment="1">
      <alignment horizontal="center" vertical="center"/>
    </xf>
    <xf numFmtId="0" fontId="17" fillId="0" borderId="12" xfId="9" applyBorder="1" applyAlignment="1">
      <alignment horizontal="center"/>
    </xf>
    <xf numFmtId="0" fontId="17" fillId="0" borderId="39" xfId="9" applyBorder="1" applyAlignment="1">
      <alignment horizontal="center"/>
    </xf>
    <xf numFmtId="0" fontId="17" fillId="0" borderId="13" xfId="9" applyBorder="1" applyAlignment="1">
      <alignment horizontal="center"/>
    </xf>
    <xf numFmtId="0" fontId="17" fillId="0" borderId="8" xfId="9" applyBorder="1" applyAlignment="1">
      <alignment horizontal="center"/>
    </xf>
    <xf numFmtId="0" fontId="17" fillId="0" borderId="0" xfId="9" applyAlignment="1">
      <alignment horizontal="center"/>
    </xf>
    <xf numFmtId="0" fontId="17" fillId="0" borderId="38" xfId="9" applyBorder="1" applyAlignment="1">
      <alignment horizontal="center"/>
    </xf>
    <xf numFmtId="0" fontId="17" fillId="0" borderId="9" xfId="9" applyBorder="1" applyAlignment="1">
      <alignment horizontal="center"/>
    </xf>
    <xf numFmtId="0" fontId="17" fillId="0" borderId="10" xfId="9" applyBorder="1" applyAlignment="1">
      <alignment horizontal="center"/>
    </xf>
    <xf numFmtId="0" fontId="17" fillId="0" borderId="11" xfId="9" applyBorder="1" applyAlignment="1">
      <alignment horizontal="center"/>
    </xf>
    <xf numFmtId="0" fontId="14" fillId="0" borderId="12" xfId="9" applyFont="1" applyBorder="1" applyAlignment="1">
      <alignment horizontal="left" vertical="top"/>
    </xf>
    <xf numFmtId="0" fontId="14" fillId="0" borderId="39" xfId="9" applyFont="1" applyBorder="1" applyAlignment="1">
      <alignment horizontal="left" vertical="top"/>
    </xf>
    <xf numFmtId="0" fontId="14" fillId="0" borderId="13" xfId="9" applyFont="1" applyBorder="1" applyAlignment="1">
      <alignment horizontal="left" vertical="top"/>
    </xf>
    <xf numFmtId="0" fontId="14" fillId="0" borderId="8" xfId="9" applyFont="1" applyBorder="1" applyAlignment="1">
      <alignment horizontal="left" vertical="top"/>
    </xf>
    <xf numFmtId="0" fontId="14" fillId="0" borderId="0" xfId="9" applyFont="1" applyAlignment="1">
      <alignment horizontal="left" vertical="top"/>
    </xf>
    <xf numFmtId="0" fontId="14" fillId="0" borderId="38" xfId="9" applyFont="1" applyBorder="1" applyAlignment="1">
      <alignment horizontal="left" vertical="top"/>
    </xf>
    <xf numFmtId="0" fontId="14" fillId="0" borderId="9" xfId="9" applyFont="1" applyBorder="1" applyAlignment="1">
      <alignment horizontal="left" vertical="top"/>
    </xf>
    <xf numFmtId="0" fontId="14" fillId="0" borderId="10" xfId="9" applyFont="1" applyBorder="1" applyAlignment="1">
      <alignment horizontal="left" vertical="top"/>
    </xf>
    <xf numFmtId="0" fontId="14" fillId="0" borderId="11" xfId="9" applyFont="1" applyBorder="1" applyAlignment="1">
      <alignment horizontal="left" vertical="top"/>
    </xf>
    <xf numFmtId="0" fontId="14" fillId="0" borderId="0" xfId="9" applyFont="1" applyAlignment="1">
      <alignment horizontal="justify" vertical="justify" wrapText="1"/>
    </xf>
    <xf numFmtId="0" fontId="14" fillId="0" borderId="0" xfId="9" applyFont="1" applyAlignment="1">
      <alignment horizontal="left" wrapText="1"/>
    </xf>
    <xf numFmtId="0" fontId="14" fillId="0" borderId="0" xfId="9" applyFont="1" applyAlignment="1">
      <alignment horizontal="left" vertical="center"/>
    </xf>
    <xf numFmtId="168" fontId="14" fillId="0" borderId="0" xfId="9" applyNumberFormat="1" applyFont="1" applyAlignment="1">
      <alignment horizontal="center" vertical="center"/>
    </xf>
    <xf numFmtId="0" fontId="1" fillId="0" borderId="0" xfId="1"/>
    <xf numFmtId="0" fontId="34" fillId="0" borderId="0" xfId="9" applyFont="1" applyAlignment="1">
      <alignment horizontal="center" vertical="center"/>
    </xf>
    <xf numFmtId="0" fontId="14" fillId="0" borderId="0" xfId="9" applyFont="1" applyAlignment="1">
      <alignment horizontal="center"/>
    </xf>
    <xf numFmtId="0" fontId="14" fillId="0" borderId="0" xfId="9" applyFont="1" applyAlignment="1">
      <alignment horizontal="center" wrapText="1"/>
    </xf>
    <xf numFmtId="0" fontId="34" fillId="0" borderId="0" xfId="9" applyFont="1" applyAlignment="1">
      <alignment horizontal="center"/>
    </xf>
    <xf numFmtId="0" fontId="14" fillId="0" borderId="0" xfId="9" applyFont="1" applyAlignment="1">
      <alignment horizontal="left" vertical="top" wrapText="1"/>
    </xf>
    <xf numFmtId="0" fontId="14" fillId="0" borderId="0" xfId="9" applyFont="1" applyAlignment="1">
      <alignment horizontal="justify" vertical="center" wrapText="1"/>
    </xf>
    <xf numFmtId="0" fontId="14" fillId="0" borderId="0" xfId="9" applyFont="1" applyAlignment="1">
      <alignment horizontal="center" vertical="center" wrapText="1"/>
    </xf>
    <xf numFmtId="0" fontId="76" fillId="0" borderId="0" xfId="0" applyFont="1" applyAlignment="1" applyProtection="1">
      <alignment horizontal="center"/>
      <protection hidden="1"/>
    </xf>
    <xf numFmtId="0" fontId="69" fillId="4" borderId="1" xfId="4" applyFont="1" applyFill="1" applyBorder="1" applyAlignment="1" applyProtection="1">
      <alignment horizontal="left" vertical="center"/>
      <protection hidden="1"/>
    </xf>
    <xf numFmtId="0" fontId="69" fillId="4" borderId="7" xfId="4" applyFont="1" applyFill="1" applyBorder="1" applyAlignment="1" applyProtection="1">
      <alignment horizontal="left" vertical="center"/>
      <protection hidden="1"/>
    </xf>
    <xf numFmtId="172" fontId="69" fillId="4" borderId="1" xfId="4" applyNumberFormat="1" applyFont="1" applyFill="1" applyBorder="1" applyAlignment="1" applyProtection="1">
      <alignment horizontal="left" vertical="center"/>
      <protection hidden="1"/>
    </xf>
    <xf numFmtId="172" fontId="69" fillId="4" borderId="7" xfId="4" applyNumberFormat="1" applyFont="1" applyFill="1" applyBorder="1" applyAlignment="1" applyProtection="1">
      <alignment horizontal="left" vertical="center"/>
      <protection hidden="1"/>
    </xf>
    <xf numFmtId="2" fontId="69" fillId="4" borderId="1" xfId="8" applyNumberFormat="1" applyFont="1" applyFill="1" applyBorder="1" applyAlignment="1" applyProtection="1">
      <alignment horizontal="center" vertical="center"/>
      <protection hidden="1"/>
    </xf>
    <xf numFmtId="0" fontId="43" fillId="0" borderId="0" xfId="0" applyFont="1" applyAlignment="1" applyProtection="1">
      <alignment horizontal="left"/>
      <protection hidden="1"/>
    </xf>
    <xf numFmtId="49" fontId="0" fillId="0" borderId="0" xfId="0" applyNumberFormat="1" applyProtection="1">
      <protection hidden="1"/>
    </xf>
  </cellXfs>
  <cellStyles count="12">
    <cellStyle name="20% - Accent1" xfId="8" builtinId="30"/>
    <cellStyle name="40% - Accent1" xfId="10" builtinId="31"/>
    <cellStyle name="Accent1" xfId="7" builtinId="29"/>
    <cellStyle name="Accent2" xfId="11" builtinId="33"/>
    <cellStyle name="Bad" xfId="5" builtinId="27"/>
    <cellStyle name="Comma 2" xfId="2" xr:uid="{00000000-0005-0000-0000-000005000000}"/>
    <cellStyle name="Good" xfId="4" builtinId="26"/>
    <cellStyle name="Hyperlink" xfId="3" builtinId="8"/>
    <cellStyle name="Neutral" xfId="6" builtinId="28"/>
    <cellStyle name="Normal" xfId="0" builtinId="0"/>
    <cellStyle name="Normal 2" xfId="1" xr:uid="{00000000-0005-0000-0000-00000A000000}"/>
    <cellStyle name="Normal 2 2" xfId="9" xr:uid="{00000000-0005-0000-0000-00000B000000}"/>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strike val="0"/>
        <outline val="0"/>
        <shadow val="0"/>
        <u val="none"/>
        <vertAlign val="baseline"/>
        <sz val="14"/>
        <color theme="1"/>
        <name val="Times New Roman"/>
        <scheme val="none"/>
      </font>
      <numFmt numFmtId="170" formatCode="[$-409]dd\ mmmm\ yyyy"/>
      <alignment horizontal="general"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strike val="0"/>
        <outline val="0"/>
        <shadow val="0"/>
        <u val="none"/>
        <vertAlign val="baseline"/>
        <sz val="14"/>
        <color theme="1"/>
        <name val="Times New Roman"/>
        <scheme val="none"/>
      </font>
      <numFmt numFmtId="167" formatCode="0.0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70" formatCode="[$-409]dd\ mmmm\ yyyy"/>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
      <font>
        <strike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strike val="0"/>
        <outline val="0"/>
        <shadow val="0"/>
        <u val="none"/>
        <vertAlign val="baseline"/>
        <sz val="14"/>
        <color theme="1"/>
        <name val="Times New Roman"/>
        <scheme val="none"/>
      </font>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s>
  <tableStyles count="0" defaultTableStyle="TableStyleMedium9" defaultPivotStyle="PivotStyleLight16"/>
  <colors>
    <mruColors>
      <color rgb="FFFF0066"/>
      <color rgb="FFFF5050"/>
      <color rgb="FFFF3399"/>
      <color rgb="FFFF99FF"/>
      <color rgb="FF000099"/>
      <color rgb="FFFF7C80"/>
      <color rgb="FFD5FFD5"/>
      <color rgb="FFC5FFC5"/>
      <color rgb="FF97FF97"/>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Radio" checked="Checked" firstButton="1"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GBox"/>
</file>

<file path=xl/ctrlProps/ctrlProp19.xml><?xml version="1.0" encoding="utf-8"?>
<formControlPr xmlns="http://schemas.microsoft.com/office/spreadsheetml/2009/9/main" objectType="GBox"/>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272498</xdr:colOff>
      <xdr:row>0</xdr:row>
      <xdr:rowOff>55494</xdr:rowOff>
    </xdr:from>
    <xdr:to>
      <xdr:col>1</xdr:col>
      <xdr:colOff>571583</xdr:colOff>
      <xdr:row>3</xdr:row>
      <xdr:rowOff>153688</xdr:rowOff>
    </xdr:to>
    <xdr:pic>
      <xdr:nvPicPr>
        <xdr:cNvPr id="2" name="Picture 1" descr="LETTERHEAD FA copy.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72498" y="55494"/>
          <a:ext cx="574813" cy="675409"/>
        </a:xfrm>
        <a:prstGeom prst="rect">
          <a:avLst/>
        </a:prstGeom>
      </xdr:spPr>
    </xdr:pic>
    <xdr:clientData/>
  </xdr:twoCellAnchor>
  <xdr:twoCellAnchor>
    <xdr:from>
      <xdr:col>1</xdr:col>
      <xdr:colOff>584834</xdr:colOff>
      <xdr:row>1</xdr:row>
      <xdr:rowOff>44035</xdr:rowOff>
    </xdr:from>
    <xdr:to>
      <xdr:col>5</xdr:col>
      <xdr:colOff>537209</xdr:colOff>
      <xdr:row>2</xdr:row>
      <xdr:rowOff>161510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44854" y="226915"/>
          <a:ext cx="245173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solidFill>
                <a:srgbClr val="000099"/>
              </a:solidFill>
            </a:rPr>
            <a:t>Force Standards Section</a:t>
          </a:r>
        </a:p>
      </xdr:txBody>
    </xdr:sp>
    <xdr:clientData/>
  </xdr:twoCellAnchor>
  <xdr:twoCellAnchor>
    <xdr:from>
      <xdr:col>0</xdr:col>
      <xdr:colOff>533399</xdr:colOff>
      <xdr:row>13</xdr:row>
      <xdr:rowOff>70539</xdr:rowOff>
    </xdr:from>
    <xdr:to>
      <xdr:col>14</xdr:col>
      <xdr:colOff>571500</xdr:colOff>
      <xdr:row>15</xdr:row>
      <xdr:rowOff>83240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33399" y="832539"/>
          <a:ext cx="569512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B. </a:t>
          </a:r>
          <a:r>
            <a:rPr lang="en-US" sz="2000" b="1" baseline="0">
              <a:solidFill>
                <a:srgbClr val="FF0000"/>
              </a:solidFill>
            </a:rPr>
            <a:t>EQUIPMENT</a:t>
          </a:r>
          <a:r>
            <a:rPr lang="en-US" sz="2000" b="1">
              <a:solidFill>
                <a:srgbClr val="FF0000"/>
              </a:solidFill>
            </a:rPr>
            <a:t> INFORMATION</a:t>
          </a:r>
        </a:p>
      </xdr:txBody>
    </xdr:sp>
    <xdr:clientData/>
  </xdr:twoCellAnchor>
  <xdr:twoCellAnchor>
    <xdr:from>
      <xdr:col>0</xdr:col>
      <xdr:colOff>530087</xdr:colOff>
      <xdr:row>34</xdr:row>
      <xdr:rowOff>37409</xdr:rowOff>
    </xdr:from>
    <xdr:to>
      <xdr:col>14</xdr:col>
      <xdr:colOff>596348</xdr:colOff>
      <xdr:row>36</xdr:row>
      <xdr:rowOff>50110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30087" y="5387974"/>
          <a:ext cx="953328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C. CALIBRATION HISTORY</a:t>
          </a:r>
        </a:p>
      </xdr:txBody>
    </xdr:sp>
    <xdr:clientData/>
  </xdr:twoCellAnchor>
  <xdr:twoCellAnchor>
    <xdr:from>
      <xdr:col>1</xdr:col>
      <xdr:colOff>11595</xdr:colOff>
      <xdr:row>4</xdr:row>
      <xdr:rowOff>87105</xdr:rowOff>
    </xdr:from>
    <xdr:to>
      <xdr:col>14</xdr:col>
      <xdr:colOff>579783</xdr:colOff>
      <xdr:row>6</xdr:row>
      <xdr:rowOff>99806</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60682" y="857388"/>
          <a:ext cx="8544340"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A. CUSTOMER'S</a:t>
          </a:r>
          <a:r>
            <a:rPr lang="en-US" sz="2000" b="1" baseline="0">
              <a:solidFill>
                <a:srgbClr val="FF0000"/>
              </a:solidFill>
            </a:rPr>
            <a:t> </a:t>
          </a:r>
          <a:r>
            <a:rPr lang="en-US" sz="2000" b="1">
              <a:solidFill>
                <a:srgbClr val="FF0000"/>
              </a:solidFill>
            </a:rPr>
            <a:t>INFORMATION</a:t>
          </a:r>
        </a:p>
      </xdr:txBody>
    </xdr:sp>
    <xdr:clientData/>
  </xdr:twoCellAnchor>
  <xdr:twoCellAnchor>
    <xdr:from>
      <xdr:col>17</xdr:col>
      <xdr:colOff>501512</xdr:colOff>
      <xdr:row>3</xdr:row>
      <xdr:rowOff>180284</xdr:rowOff>
    </xdr:from>
    <xdr:to>
      <xdr:col>34</xdr:col>
      <xdr:colOff>548723</xdr:colOff>
      <xdr:row>6</xdr:row>
      <xdr:rowOff>2485</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1769587" y="761309"/>
          <a:ext cx="9505536"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D. CALIBRATION</a:t>
          </a:r>
          <a:r>
            <a:rPr lang="en-US" sz="2000" b="1" baseline="0">
              <a:solidFill>
                <a:srgbClr val="FF0000"/>
              </a:solidFill>
            </a:rPr>
            <a:t> POINTS</a:t>
          </a:r>
        </a:p>
      </xdr:txBody>
    </xdr:sp>
    <xdr:clientData/>
  </xdr:twoCellAnchor>
  <mc:AlternateContent xmlns:mc="http://schemas.openxmlformats.org/markup-compatibility/2006">
    <mc:Choice xmlns:a14="http://schemas.microsoft.com/office/drawing/2010/main" Requires="a14">
      <xdr:twoCellAnchor>
        <xdr:from>
          <xdr:col>3</xdr:col>
          <xdr:colOff>247650</xdr:colOff>
          <xdr:row>31</xdr:row>
          <xdr:rowOff>190500</xdr:rowOff>
        </xdr:from>
        <xdr:to>
          <xdr:col>5</xdr:col>
          <xdr:colOff>876300</xdr:colOff>
          <xdr:row>33</xdr:row>
          <xdr:rowOff>285750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000-000001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1" i="0" u="none" strike="noStrike" baseline="0">
                  <a:solidFill>
                    <a:srgbClr val="800000"/>
                  </a:solidFill>
                  <a:latin typeface="Calibri"/>
                  <a:ea typeface="Calibri"/>
                  <a:cs typeface="Calibri"/>
                </a:rPr>
                <a:t>New Calibration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1123950</xdr:colOff>
          <xdr:row>31</xdr:row>
          <xdr:rowOff>190500</xdr:rowOff>
        </xdr:from>
        <xdr:to>
          <xdr:col>8</xdr:col>
          <xdr:colOff>1352550</xdr:colOff>
          <xdr:row>33</xdr:row>
          <xdr:rowOff>285750</xdr:rowOff>
        </xdr:to>
        <xdr:sp macro="" textlink="">
          <xdr:nvSpPr>
            <xdr:cNvPr id="24584" name="Button 8" hidden="1">
              <a:extLst>
                <a:ext uri="{63B3BB69-23CF-44E3-9099-C40C66FF867C}">
                  <a14:compatExt spid="_x0000_s24584"/>
                </a:ext>
                <a:ext uri="{FF2B5EF4-FFF2-40B4-BE49-F238E27FC236}">
                  <a16:creationId xmlns:a16="http://schemas.microsoft.com/office/drawing/2014/main" id="{00000000-0008-0000-0000-000008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0080"/>
                  </a:solidFill>
                  <a:latin typeface="Calibri"/>
                  <a:ea typeface="Calibri"/>
                  <a:cs typeface="Calibri"/>
                </a:rPr>
                <a:t>Print Certificate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1428750</xdr:colOff>
          <xdr:row>31</xdr:row>
          <xdr:rowOff>190500</xdr:rowOff>
        </xdr:from>
        <xdr:to>
          <xdr:col>10</xdr:col>
          <xdr:colOff>647700</xdr:colOff>
          <xdr:row>33</xdr:row>
          <xdr:rowOff>285750</xdr:rowOff>
        </xdr:to>
        <xdr:sp macro="" textlink="">
          <xdr:nvSpPr>
            <xdr:cNvPr id="24587" name="Button 11" hidden="1">
              <a:extLst>
                <a:ext uri="{63B3BB69-23CF-44E3-9099-C40C66FF867C}">
                  <a14:compatExt spid="_x0000_s24587"/>
                </a:ext>
                <a:ext uri="{FF2B5EF4-FFF2-40B4-BE49-F238E27FC236}">
                  <a16:creationId xmlns:a16="http://schemas.microsoft.com/office/drawing/2014/main" id="{00000000-0008-0000-0000-00000B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8000"/>
                  </a:solidFill>
                  <a:latin typeface="Calibri"/>
                  <a:ea typeface="Calibri"/>
                  <a:cs typeface="Calibri"/>
                </a:rPr>
                <a:t>Print Cal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742950</xdr:colOff>
          <xdr:row>31</xdr:row>
          <xdr:rowOff>190500</xdr:rowOff>
        </xdr:from>
        <xdr:to>
          <xdr:col>13</xdr:col>
          <xdr:colOff>666750</xdr:colOff>
          <xdr:row>33</xdr:row>
          <xdr:rowOff>285750</xdr:rowOff>
        </xdr:to>
        <xdr:sp macro="" textlink="">
          <xdr:nvSpPr>
            <xdr:cNvPr id="24588" name="Button 12" hidden="1">
              <a:extLst>
                <a:ext uri="{63B3BB69-23CF-44E3-9099-C40C66FF867C}">
                  <a14:compatExt spid="_x0000_s24588"/>
                </a:ext>
                <a:ext uri="{FF2B5EF4-FFF2-40B4-BE49-F238E27FC236}">
                  <a16:creationId xmlns:a16="http://schemas.microsoft.com/office/drawing/2014/main" id="{00000000-0008-0000-0000-00000C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FF6600"/>
                  </a:solidFill>
                  <a:latin typeface="Calibri"/>
                  <a:ea typeface="Calibri"/>
                  <a:cs typeface="Calibri"/>
                </a:rPr>
                <a:t>Print Cal Record</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11</xdr:col>
      <xdr:colOff>123825</xdr:colOff>
      <xdr:row>18</xdr:row>
      <xdr:rowOff>85725</xdr:rowOff>
    </xdr:from>
    <xdr:to>
      <xdr:col>12</xdr:col>
      <xdr:colOff>723900</xdr:colOff>
      <xdr:row>19</xdr:row>
      <xdr:rowOff>171450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239375" y="40386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1</a:t>
          </a:r>
        </a:p>
      </xdr:txBody>
    </xdr:sp>
    <xdr:clientData/>
  </xdr:twoCellAnchor>
  <xdr:twoCellAnchor>
    <xdr:from>
      <xdr:col>11</xdr:col>
      <xdr:colOff>123825</xdr:colOff>
      <xdr:row>25</xdr:row>
      <xdr:rowOff>142875</xdr:rowOff>
    </xdr:from>
    <xdr:to>
      <xdr:col>12</xdr:col>
      <xdr:colOff>723900</xdr:colOff>
      <xdr:row>27</xdr:row>
      <xdr:rowOff>19050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0239375" y="54864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2</a:t>
          </a:r>
        </a:p>
      </xdr:txBody>
    </xdr:sp>
    <xdr:clientData/>
  </xdr:twoCellAnchor>
  <mc:AlternateContent xmlns:mc="http://schemas.openxmlformats.org/markup-compatibility/2006">
    <mc:Choice xmlns:a14="http://schemas.microsoft.com/office/drawing/2010/main" Requires="a14">
      <xdr:twoCellAnchor>
        <xdr:from>
          <xdr:col>12</xdr:col>
          <xdr:colOff>304800</xdr:colOff>
          <xdr:row>27</xdr:row>
          <xdr:rowOff>19050</xdr:rowOff>
        </xdr:from>
        <xdr:to>
          <xdr:col>12</xdr:col>
          <xdr:colOff>4343400</xdr:colOff>
          <xdr:row>28</xdr:row>
          <xdr:rowOff>209550</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100-000001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29</xdr:row>
          <xdr:rowOff>171450</xdr:rowOff>
        </xdr:from>
        <xdr:to>
          <xdr:col>12</xdr:col>
          <xdr:colOff>4305300</xdr:colOff>
          <xdr:row>30</xdr:row>
          <xdr:rowOff>285750</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100-000002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31</xdr:row>
          <xdr:rowOff>190500</xdr:rowOff>
        </xdr:from>
        <xdr:to>
          <xdr:col>12</xdr:col>
          <xdr:colOff>4305300</xdr:colOff>
          <xdr:row>32</xdr:row>
          <xdr:rowOff>304800</xdr:rowOff>
        </xdr:to>
        <xdr:sp macro="" textlink="">
          <xdr:nvSpPr>
            <xdr:cNvPr id="20483" name="Button 3" hidden="1">
              <a:extLst>
                <a:ext uri="{63B3BB69-23CF-44E3-9099-C40C66FF867C}">
                  <a14:compatExt spid="_x0000_s20483"/>
                </a:ext>
                <a:ext uri="{FF2B5EF4-FFF2-40B4-BE49-F238E27FC236}">
                  <a16:creationId xmlns:a16="http://schemas.microsoft.com/office/drawing/2014/main" id="{00000000-0008-0000-0100-000003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25</xdr:row>
          <xdr:rowOff>114300</xdr:rowOff>
        </xdr:from>
        <xdr:to>
          <xdr:col>14</xdr:col>
          <xdr:colOff>4267200</xdr:colOff>
          <xdr:row>26</xdr:row>
          <xdr:rowOff>304800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00000000-0008-0000-0100-000004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27</xdr:row>
          <xdr:rowOff>95250</xdr:rowOff>
        </xdr:from>
        <xdr:to>
          <xdr:col>14</xdr:col>
          <xdr:colOff>4267200</xdr:colOff>
          <xdr:row>28</xdr:row>
          <xdr:rowOff>285750</xdr:rowOff>
        </xdr:to>
        <xdr:sp macro="" textlink="">
          <xdr:nvSpPr>
            <xdr:cNvPr id="20485" name="Button 5" hidden="1">
              <a:extLst>
                <a:ext uri="{63B3BB69-23CF-44E3-9099-C40C66FF867C}">
                  <a14:compatExt spid="_x0000_s20485"/>
                </a:ext>
                <a:ext uri="{FF2B5EF4-FFF2-40B4-BE49-F238E27FC236}">
                  <a16:creationId xmlns:a16="http://schemas.microsoft.com/office/drawing/2014/main" id="{00000000-0008-0000-0100-000005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29</xdr:row>
          <xdr:rowOff>152400</xdr:rowOff>
        </xdr:from>
        <xdr:to>
          <xdr:col>14</xdr:col>
          <xdr:colOff>4267200</xdr:colOff>
          <xdr:row>30</xdr:row>
          <xdr:rowOff>342900</xdr:rowOff>
        </xdr:to>
        <xdr:sp macro="" textlink="">
          <xdr:nvSpPr>
            <xdr:cNvPr id="20486" name="Button 6" hidden="1">
              <a:extLst>
                <a:ext uri="{63B3BB69-23CF-44E3-9099-C40C66FF867C}">
                  <a14:compatExt spid="_x0000_s20486"/>
                </a:ext>
                <a:ext uri="{FF2B5EF4-FFF2-40B4-BE49-F238E27FC236}">
                  <a16:creationId xmlns:a16="http://schemas.microsoft.com/office/drawing/2014/main" id="{00000000-0008-0000-0100-000006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16</xdr:row>
          <xdr:rowOff>400050</xdr:rowOff>
        </xdr:from>
        <xdr:to>
          <xdr:col>4</xdr:col>
          <xdr:colOff>1485900</xdr:colOff>
          <xdr:row>18</xdr:row>
          <xdr:rowOff>57150</xdr:rowOff>
        </xdr:to>
        <xdr:sp macro="" textlink="">
          <xdr:nvSpPr>
            <xdr:cNvPr id="20487" name="Option Button 7" hidden="1">
              <a:extLst>
                <a:ext uri="{63B3BB69-23CF-44E3-9099-C40C66FF867C}">
                  <a14:compatExt spid="_x0000_s20487"/>
                </a:ext>
                <a:ext uri="{FF2B5EF4-FFF2-40B4-BE49-F238E27FC236}">
                  <a16:creationId xmlns:a16="http://schemas.microsoft.com/office/drawing/2014/main" id="{00000000-0008-0000-01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kgf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17</xdr:row>
          <xdr:rowOff>438150</xdr:rowOff>
        </xdr:from>
        <xdr:to>
          <xdr:col>4</xdr:col>
          <xdr:colOff>1485900</xdr:colOff>
          <xdr:row>19</xdr:row>
          <xdr:rowOff>57150</xdr:rowOff>
        </xdr:to>
        <xdr:sp macro="" textlink="">
          <xdr:nvSpPr>
            <xdr:cNvPr id="20488" name="Option Button 8" hidden="1">
              <a:extLst>
                <a:ext uri="{63B3BB69-23CF-44E3-9099-C40C66FF867C}">
                  <a14:compatExt spid="_x0000_s20488"/>
                </a:ext>
                <a:ext uri="{FF2B5EF4-FFF2-40B4-BE49-F238E27FC236}">
                  <a16:creationId xmlns:a16="http://schemas.microsoft.com/office/drawing/2014/main" id="{00000000-0008-0000-01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lbf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438150</xdr:colOff>
          <xdr:row>16</xdr:row>
          <xdr:rowOff>381000</xdr:rowOff>
        </xdr:from>
        <xdr:to>
          <xdr:col>5</xdr:col>
          <xdr:colOff>1581150</xdr:colOff>
          <xdr:row>18</xdr:row>
          <xdr:rowOff>57150</xdr:rowOff>
        </xdr:to>
        <xdr:sp macro="" textlink="">
          <xdr:nvSpPr>
            <xdr:cNvPr id="20489" name="Option Button 9" hidden="1">
              <a:extLst>
                <a:ext uri="{63B3BB69-23CF-44E3-9099-C40C66FF867C}">
                  <a14:compatExt spid="_x0000_s20489"/>
                </a:ext>
                <a:ext uri="{FF2B5EF4-FFF2-40B4-BE49-F238E27FC236}">
                  <a16:creationId xmlns:a16="http://schemas.microsoft.com/office/drawing/2014/main" id="{00000000-0008-0000-01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381000</xdr:colOff>
          <xdr:row>17</xdr:row>
          <xdr:rowOff>438150</xdr:rowOff>
        </xdr:from>
        <xdr:to>
          <xdr:col>5</xdr:col>
          <xdr:colOff>1524000</xdr:colOff>
          <xdr:row>19</xdr:row>
          <xdr:rowOff>57150</xdr:rowOff>
        </xdr:to>
        <xdr:sp macro="" textlink="">
          <xdr:nvSpPr>
            <xdr:cNvPr id="20490" name="Option Button 10" hidden="1">
              <a:extLst>
                <a:ext uri="{63B3BB69-23CF-44E3-9099-C40C66FF867C}">
                  <a14:compatExt spid="_x0000_s20490"/>
                </a:ext>
                <a:ext uri="{FF2B5EF4-FFF2-40B4-BE49-F238E27FC236}">
                  <a16:creationId xmlns:a16="http://schemas.microsoft.com/office/drawing/2014/main" id="{00000000-0008-0000-01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19</xdr:row>
          <xdr:rowOff>400050</xdr:rowOff>
        </xdr:from>
        <xdr:to>
          <xdr:col>12</xdr:col>
          <xdr:colOff>4400550</xdr:colOff>
          <xdr:row>21</xdr:row>
          <xdr:rowOff>0</xdr:rowOff>
        </xdr:to>
        <xdr:sp macro="" textlink="">
          <xdr:nvSpPr>
            <xdr:cNvPr id="20494" name="Button 14" hidden="1">
              <a:extLst>
                <a:ext uri="{63B3BB69-23CF-44E3-9099-C40C66FF867C}">
                  <a14:compatExt spid="_x0000_s20494"/>
                </a:ext>
                <a:ext uri="{FF2B5EF4-FFF2-40B4-BE49-F238E27FC236}">
                  <a16:creationId xmlns:a16="http://schemas.microsoft.com/office/drawing/2014/main" id="{00000000-0008-0000-0100-00000E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31</xdr:row>
          <xdr:rowOff>152400</xdr:rowOff>
        </xdr:from>
        <xdr:to>
          <xdr:col>14</xdr:col>
          <xdr:colOff>4267200</xdr:colOff>
          <xdr:row>32</xdr:row>
          <xdr:rowOff>304800</xdr:rowOff>
        </xdr:to>
        <xdr:sp macro="" textlink="">
          <xdr:nvSpPr>
            <xdr:cNvPr id="20495" name="Button 15" hidden="1">
              <a:extLst>
                <a:ext uri="{63B3BB69-23CF-44E3-9099-C40C66FF867C}">
                  <a14:compatExt spid="_x0000_s20495"/>
                </a:ext>
                <a:ext uri="{FF2B5EF4-FFF2-40B4-BE49-F238E27FC236}">
                  <a16:creationId xmlns:a16="http://schemas.microsoft.com/office/drawing/2014/main" id="{00000000-0008-0000-0100-00000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21</xdr:row>
          <xdr:rowOff>361950</xdr:rowOff>
        </xdr:from>
        <xdr:to>
          <xdr:col>12</xdr:col>
          <xdr:colOff>4400550</xdr:colOff>
          <xdr:row>23</xdr:row>
          <xdr:rowOff>57150</xdr:rowOff>
        </xdr:to>
        <xdr:sp macro="" textlink="">
          <xdr:nvSpPr>
            <xdr:cNvPr id="20503" name="Button 23" hidden="1">
              <a:extLst>
                <a:ext uri="{63B3BB69-23CF-44E3-9099-C40C66FF867C}">
                  <a14:compatExt spid="_x0000_s20503"/>
                </a:ext>
                <a:ext uri="{FF2B5EF4-FFF2-40B4-BE49-F238E27FC236}">
                  <a16:creationId xmlns:a16="http://schemas.microsoft.com/office/drawing/2014/main" id="{00000000-0008-0000-0100-000017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361950</xdr:colOff>
          <xdr:row>17</xdr:row>
          <xdr:rowOff>457200</xdr:rowOff>
        </xdr:from>
        <xdr:to>
          <xdr:col>13</xdr:col>
          <xdr:colOff>57150</xdr:colOff>
          <xdr:row>33</xdr:row>
          <xdr:rowOff>171450</xdr:rowOff>
        </xdr:to>
        <xdr:sp macro="" textlink="">
          <xdr:nvSpPr>
            <xdr:cNvPr id="20504" name="Group Box 24" hidden="1">
              <a:extLst>
                <a:ext uri="{63B3BB69-23CF-44E3-9099-C40C66FF867C}">
                  <a14:compatExt spid="_x0000_s20504"/>
                </a:ext>
                <a:ext uri="{FF2B5EF4-FFF2-40B4-BE49-F238E27FC236}">
                  <a16:creationId xmlns:a16="http://schemas.microsoft.com/office/drawing/2014/main" id="{00000000-0008-0000-0100-000018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PROCESS RESULT CONTROLLER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838200</xdr:colOff>
          <xdr:row>17</xdr:row>
          <xdr:rowOff>457200</xdr:rowOff>
        </xdr:from>
        <xdr:to>
          <xdr:col>15</xdr:col>
          <xdr:colOff>0</xdr:colOff>
          <xdr:row>33</xdr:row>
          <xdr:rowOff>171450</xdr:rowOff>
        </xdr:to>
        <xdr:sp macro="" textlink="">
          <xdr:nvSpPr>
            <xdr:cNvPr id="20507" name="Group Box 27" hidden="1">
              <a:extLst>
                <a:ext uri="{63B3BB69-23CF-44E3-9099-C40C66FF867C}">
                  <a14:compatExt spid="_x0000_s20507"/>
                </a:ext>
                <a:ext uri="{FF2B5EF4-FFF2-40B4-BE49-F238E27FC236}">
                  <a16:creationId xmlns:a16="http://schemas.microsoft.com/office/drawing/2014/main" id="{00000000-0008-0000-0100-00001B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DELETE Controller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23</xdr:row>
          <xdr:rowOff>400050</xdr:rowOff>
        </xdr:from>
        <xdr:to>
          <xdr:col>12</xdr:col>
          <xdr:colOff>4400550</xdr:colOff>
          <xdr:row>25</xdr:row>
          <xdr:rowOff>95250</xdr:rowOff>
        </xdr:to>
        <xdr:sp macro="" textlink="">
          <xdr:nvSpPr>
            <xdr:cNvPr id="20508" name="Button 28" hidden="1">
              <a:extLst>
                <a:ext uri="{63B3BB69-23CF-44E3-9099-C40C66FF867C}">
                  <a14:compatExt spid="_x0000_s20508"/>
                </a:ext>
                <a:ext uri="{FF2B5EF4-FFF2-40B4-BE49-F238E27FC236}">
                  <a16:creationId xmlns:a16="http://schemas.microsoft.com/office/drawing/2014/main" id="{00000000-0008-0000-0100-00001C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571500</xdr:colOff>
          <xdr:row>12</xdr:row>
          <xdr:rowOff>19050</xdr:rowOff>
        </xdr:from>
        <xdr:to>
          <xdr:col>12</xdr:col>
          <xdr:colOff>552450</xdr:colOff>
          <xdr:row>13</xdr:row>
          <xdr:rowOff>495300</xdr:rowOff>
        </xdr:to>
        <xdr:sp macro="" textlink="">
          <xdr:nvSpPr>
            <xdr:cNvPr id="20510" name="Object 30" hidden="1">
              <a:extLst>
                <a:ext uri="{63B3BB69-23CF-44E3-9099-C40C66FF867C}">
                  <a14:compatExt spid="_x0000_s20510"/>
                </a:ext>
                <a:ext uri="{FF2B5EF4-FFF2-40B4-BE49-F238E27FC236}">
                  <a16:creationId xmlns:a16="http://schemas.microsoft.com/office/drawing/2014/main" id="{00000000-0008-0000-0100-00001E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21</xdr:row>
          <xdr:rowOff>57150</xdr:rowOff>
        </xdr:from>
        <xdr:to>
          <xdr:col>14</xdr:col>
          <xdr:colOff>4267200</xdr:colOff>
          <xdr:row>22</xdr:row>
          <xdr:rowOff>285750</xdr:rowOff>
        </xdr:to>
        <xdr:sp macro="" textlink="">
          <xdr:nvSpPr>
            <xdr:cNvPr id="20511" name="Button 31" hidden="1">
              <a:extLst>
                <a:ext uri="{63B3BB69-23CF-44E3-9099-C40C66FF867C}">
                  <a14:compatExt spid="_x0000_s20511"/>
                </a:ext>
                <a:ext uri="{FF2B5EF4-FFF2-40B4-BE49-F238E27FC236}">
                  <a16:creationId xmlns:a16="http://schemas.microsoft.com/office/drawing/2014/main" id="{00000000-0008-0000-0100-00001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23</xdr:row>
          <xdr:rowOff>114300</xdr:rowOff>
        </xdr:from>
        <xdr:to>
          <xdr:col>14</xdr:col>
          <xdr:colOff>4267200</xdr:colOff>
          <xdr:row>24</xdr:row>
          <xdr:rowOff>342900</xdr:rowOff>
        </xdr:to>
        <xdr:sp macro="" textlink="">
          <xdr:nvSpPr>
            <xdr:cNvPr id="20512" name="Button 32" hidden="1">
              <a:extLst>
                <a:ext uri="{63B3BB69-23CF-44E3-9099-C40C66FF867C}">
                  <a14:compatExt spid="_x0000_s20512"/>
                </a:ext>
                <a:ext uri="{FF2B5EF4-FFF2-40B4-BE49-F238E27FC236}">
                  <a16:creationId xmlns:a16="http://schemas.microsoft.com/office/drawing/2014/main" id="{00000000-0008-0000-0100-000020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2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19</xdr:row>
          <xdr:rowOff>0</xdr:rowOff>
        </xdr:from>
        <xdr:to>
          <xdr:col>14</xdr:col>
          <xdr:colOff>4267200</xdr:colOff>
          <xdr:row>20</xdr:row>
          <xdr:rowOff>209550</xdr:rowOff>
        </xdr:to>
        <xdr:sp macro="" textlink="">
          <xdr:nvSpPr>
            <xdr:cNvPr id="20513" name="Button 33" hidden="1">
              <a:extLst>
                <a:ext uri="{63B3BB69-23CF-44E3-9099-C40C66FF867C}">
                  <a14:compatExt spid="_x0000_s20513"/>
                </a:ext>
                <a:ext uri="{FF2B5EF4-FFF2-40B4-BE49-F238E27FC236}">
                  <a16:creationId xmlns:a16="http://schemas.microsoft.com/office/drawing/2014/main" id="{00000000-0008-0000-0100-000021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ALL LOAD</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208359</xdr:colOff>
      <xdr:row>0</xdr:row>
      <xdr:rowOff>19447</xdr:rowOff>
    </xdr:from>
    <xdr:to>
      <xdr:col>1</xdr:col>
      <xdr:colOff>89296</xdr:colOff>
      <xdr:row>3</xdr:row>
      <xdr:rowOff>86216</xdr:rowOff>
    </xdr:to>
    <xdr:pic>
      <xdr:nvPicPr>
        <xdr:cNvPr id="2" name="Picture 1" descr="LETTERHEAD FA copy.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08359" y="19447"/>
          <a:ext cx="345281" cy="459675"/>
        </a:xfrm>
        <a:prstGeom prst="rect">
          <a:avLst/>
        </a:prstGeom>
      </xdr:spPr>
    </xdr:pic>
    <xdr:clientData/>
  </xdr:twoCellAnchor>
  <xdr:twoCellAnchor>
    <xdr:from>
      <xdr:col>0</xdr:col>
      <xdr:colOff>364148</xdr:colOff>
      <xdr:row>1</xdr:row>
      <xdr:rowOff>85236</xdr:rowOff>
    </xdr:from>
    <xdr:to>
      <xdr:col>5</xdr:col>
      <xdr:colOff>176823</xdr:colOff>
      <xdr:row>2</xdr:row>
      <xdr:rowOff>131396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64148" y="217121"/>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Pressure Force Standards Section</a:t>
          </a:r>
        </a:p>
      </xdr:txBody>
    </xdr:sp>
    <xdr:clientData/>
  </xdr:twoCellAnchor>
  <xdr:twoCellAnchor>
    <xdr:from>
      <xdr:col>0</xdr:col>
      <xdr:colOff>364148</xdr:colOff>
      <xdr:row>0</xdr:row>
      <xdr:rowOff>70582</xdr:rowOff>
    </xdr:from>
    <xdr:to>
      <xdr:col>5</xdr:col>
      <xdr:colOff>176823</xdr:colOff>
      <xdr:row>1</xdr:row>
      <xdr:rowOff>116741</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364148" y="70582"/>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National Metrology Laboratory of the Philippines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265695</xdr:colOff>
      <xdr:row>100</xdr:row>
      <xdr:rowOff>15440</xdr:rowOff>
    </xdr:from>
    <xdr:to>
      <xdr:col>12</xdr:col>
      <xdr:colOff>362536</xdr:colOff>
      <xdr:row>104</xdr:row>
      <xdr:rowOff>133550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4883678" y="17186716"/>
          <a:ext cx="1239841" cy="880110"/>
          <a:chOff x="4984282" y="8286951"/>
          <a:chExt cx="1331229" cy="865772"/>
        </a:xfrm>
      </xdr:grpSpPr>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6" name="Rectangle 5">
            <a:extLst>
              <a:ext uri="{FF2B5EF4-FFF2-40B4-BE49-F238E27FC236}">
                <a16:creationId xmlns:a16="http://schemas.microsoft.com/office/drawing/2014/main" id="{00000000-0008-0000-0400-000006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7" name="Rectangle 6">
            <a:extLst>
              <a:ext uri="{FF2B5EF4-FFF2-40B4-BE49-F238E27FC236}">
                <a16:creationId xmlns:a16="http://schemas.microsoft.com/office/drawing/2014/main" id="{00000000-0008-0000-0400-000007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10</xdr:col>
      <xdr:colOff>208670</xdr:colOff>
      <xdr:row>47</xdr:row>
      <xdr:rowOff>6241</xdr:rowOff>
    </xdr:from>
    <xdr:to>
      <xdr:col>12</xdr:col>
      <xdr:colOff>301701</xdr:colOff>
      <xdr:row>51</xdr:row>
      <xdr:rowOff>131972</xdr:rowOff>
    </xdr:to>
    <xdr:grpSp>
      <xdr:nvGrpSpPr>
        <xdr:cNvPr id="8" name="Group 7">
          <a:extLst>
            <a:ext uri="{FF2B5EF4-FFF2-40B4-BE49-F238E27FC236}">
              <a16:creationId xmlns:a16="http://schemas.microsoft.com/office/drawing/2014/main" id="{00000000-0008-0000-0400-000008000000}"/>
            </a:ext>
          </a:extLst>
        </xdr:cNvPr>
        <xdr:cNvGrpSpPr/>
      </xdr:nvGrpSpPr>
      <xdr:grpSpPr>
        <a:xfrm>
          <a:off x="4826653" y="7915275"/>
          <a:ext cx="1236031" cy="887731"/>
          <a:chOff x="4984282" y="8286951"/>
          <a:chExt cx="1331229" cy="865772"/>
        </a:xfrm>
      </xdr:grpSpPr>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12" name="Rectangle 11">
            <a:extLst>
              <a:ext uri="{FF2B5EF4-FFF2-40B4-BE49-F238E27FC236}">
                <a16:creationId xmlns:a16="http://schemas.microsoft.com/office/drawing/2014/main" id="{00000000-0008-0000-0400-00000C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3" name="Rectangle 12">
            <a:extLst>
              <a:ext uri="{FF2B5EF4-FFF2-40B4-BE49-F238E27FC236}">
                <a16:creationId xmlns:a16="http://schemas.microsoft.com/office/drawing/2014/main" id="{00000000-0008-0000-0400-00000D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5669017" cy="790688"/>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69017" cy="790688"/>
        </a:xfrm>
        <a:prstGeom prst="rect">
          <a:avLst/>
        </a:prstGeom>
        <a:noFill/>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hdrian%20Gernale/Documents/DMP%20Software/CalibrationSoftware%20JUNE%2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ALIBRATION%20DATA\2019\april\sc%20brothers%20packaging%20corp%20inc_bct_2000kgf_SN%201114002423%20LC_forc0058_0419_10%20kN%20load%20cel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O13" totalsRowShown="0" headerRowDxfId="19" dataDxfId="18">
  <tableColumns count="14">
    <tableColumn id="2" xr3:uid="{00000000-0010-0000-0000-000002000000}" name="Description" dataDxfId="17"/>
    <tableColumn id="15" xr3:uid="{00000000-0010-0000-0000-00000F000000}" name="Capacity" dataDxfId="16"/>
    <tableColumn id="3" xr3:uid="{00000000-0010-0000-0000-000003000000}" name="Serial Number" dataDxfId="15"/>
    <tableColumn id="4" xr3:uid="{00000000-0010-0000-0000-000004000000}" name="Calibration Certificate" dataDxfId="14"/>
    <tableColumn id="5" xr3:uid="{00000000-0010-0000-0000-000005000000}" name="Calibration Date" dataDxfId="13"/>
    <tableColumn id="6" xr3:uid="{00000000-0010-0000-0000-000006000000}" name="a' (Compression)" dataDxfId="12"/>
    <tableColumn id="7" xr3:uid="{00000000-0010-0000-0000-000007000000}" name="b' (Compression)" dataDxfId="11"/>
    <tableColumn id="8" xr3:uid="{00000000-0010-0000-0000-000008000000}" name="c' (Compression)" dataDxfId="10"/>
    <tableColumn id="9" xr3:uid="{00000000-0010-0000-0000-000009000000}" name="U (Compression)" dataDxfId="9"/>
    <tableColumn id="14" xr3:uid="{00000000-0010-0000-0000-00000E000000}" name="a' (Tension)" dataDxfId="8"/>
    <tableColumn id="13" xr3:uid="{00000000-0010-0000-0000-00000D000000}" name="b' (Tension)" dataDxfId="7"/>
    <tableColumn id="12" xr3:uid="{00000000-0010-0000-0000-00000C000000}" name="c' (Tension)" dataDxfId="6"/>
    <tableColumn id="11" xr3:uid="{00000000-0010-0000-0000-00000B000000}" name="U (Tension)" dataDxfId="5"/>
    <tableColumn id="10" xr3:uid="{00000000-0010-0000-0000-00000A00000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ypesMachinedb3" displayName="TypesMachinedb3" ref="A1:A9" totalsRowShown="0">
  <autoFilter ref="A1:A9" xr:uid="{00000000-0009-0000-0100-000002000000}"/>
  <tableColumns count="1">
    <tableColumn id="1" xr3:uid="{00000000-0010-0000-0100-000001000000}" name="Types of Machi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calibratorsdb" displayName="calibratorsdb" ref="E1:F6" totalsRowShown="0">
  <autoFilter ref="E1:F6" xr:uid="{00000000-0009-0000-0100-000004000000}"/>
  <tableColumns count="2">
    <tableColumn id="1" xr3:uid="{00000000-0010-0000-0200-000001000000}" name="Name"/>
    <tableColumn id="2" xr3:uid="{00000000-0010-0000-0200-000002000000}" name="Posi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J1:K5" totalsRowShown="0">
  <autoFilter ref="J1:K5" xr:uid="{00000000-0009-0000-0100-000005000000}"/>
  <tableColumns count="2">
    <tableColumn id="1" xr3:uid="{00000000-0010-0000-0300-000001000000}" name="Unit"/>
    <tableColumn id="2" xr3:uid="{00000000-0010-0000-0300-000002000000}"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image" Target="../media/image2.emf"/><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P40"/>
  <sheetViews>
    <sheetView topLeftCell="A7" zoomScale="115" zoomScaleNormal="115" workbookViewId="0">
      <selection activeCell="I24" sqref="I24"/>
    </sheetView>
  </sheetViews>
  <sheetFormatPr defaultColWidth="9.140625" defaultRowHeight="15" x14ac:dyDescent="0.25"/>
  <cols>
    <col min="1" max="1" width="2.28515625" style="41" customWidth="1"/>
    <col min="2" max="7" width="9.140625" style="41"/>
    <col min="8" max="9" width="14.28515625" style="41" customWidth="1"/>
    <col min="10" max="10" width="1.140625" style="41" customWidth="1"/>
    <col min="11" max="11" width="14.28515625" style="41" customWidth="1"/>
    <col min="12" max="12" width="2.140625" style="41" customWidth="1"/>
    <col min="13" max="17" width="9.140625" style="41"/>
    <col min="18" max="18" width="2.5703125" style="41" customWidth="1"/>
    <col min="19" max="22" width="9.140625" style="41"/>
    <col min="23" max="23" width="2.140625" style="41" customWidth="1"/>
    <col min="24" max="33" width="9.140625" style="41"/>
    <col min="34" max="34" width="2.5703125" style="41" customWidth="1"/>
    <col min="35" max="36" width="9.140625" style="41" customWidth="1"/>
    <col min="37" max="37" width="24.28515625" style="41" customWidth="1"/>
    <col min="38" max="16384" width="9.140625" style="41"/>
  </cols>
  <sheetData>
    <row r="2" spans="2:42" ht="15.75" thickBot="1" x14ac:dyDescent="0.3"/>
    <row r="3" spans="2:42" x14ac:dyDescent="0.25">
      <c r="X3" s="41" t="s">
        <v>110</v>
      </c>
      <c r="Z3" s="506" t="s">
        <v>111</v>
      </c>
      <c r="AA3" s="507"/>
      <c r="AB3" s="507"/>
      <c r="AC3" s="507"/>
      <c r="AD3" s="507"/>
      <c r="AE3" s="508"/>
      <c r="AF3" s="509"/>
      <c r="AG3" s="510"/>
      <c r="AH3" s="510"/>
      <c r="AI3" s="510"/>
      <c r="AJ3" s="510"/>
      <c r="AK3" s="510"/>
      <c r="AL3" s="510"/>
      <c r="AM3" s="510"/>
      <c r="AN3" s="510"/>
      <c r="AO3" s="510"/>
      <c r="AP3" s="510"/>
    </row>
    <row r="4" spans="2:42" x14ac:dyDescent="0.25">
      <c r="Z4" s="509"/>
      <c r="AA4" s="510"/>
      <c r="AB4" s="510"/>
      <c r="AC4" s="510"/>
      <c r="AD4" s="510"/>
      <c r="AE4" s="511"/>
      <c r="AF4" s="509"/>
      <c r="AG4" s="510"/>
      <c r="AH4" s="510"/>
      <c r="AI4" s="510"/>
      <c r="AJ4" s="510"/>
      <c r="AK4" s="510"/>
      <c r="AL4" s="510"/>
      <c r="AM4" s="510"/>
      <c r="AN4" s="510"/>
      <c r="AO4" s="510"/>
      <c r="AP4" s="510"/>
    </row>
    <row r="5" spans="2:42" x14ac:dyDescent="0.25">
      <c r="Z5" s="509"/>
      <c r="AA5" s="510"/>
      <c r="AB5" s="510"/>
      <c r="AC5" s="510"/>
      <c r="AD5" s="510"/>
      <c r="AE5" s="511"/>
      <c r="AF5" s="509"/>
      <c r="AG5" s="510"/>
      <c r="AH5" s="510"/>
      <c r="AI5" s="510"/>
      <c r="AJ5" s="510"/>
      <c r="AK5" s="510"/>
      <c r="AL5" s="510"/>
      <c r="AM5" s="510"/>
      <c r="AN5" s="510"/>
      <c r="AO5" s="510"/>
      <c r="AP5" s="510"/>
    </row>
    <row r="6" spans="2:42" x14ac:dyDescent="0.25">
      <c r="Z6" s="509"/>
      <c r="AA6" s="510"/>
      <c r="AB6" s="510"/>
      <c r="AC6" s="510"/>
      <c r="AD6" s="510"/>
      <c r="AE6" s="511"/>
      <c r="AF6" s="509"/>
      <c r="AG6" s="510"/>
      <c r="AH6" s="510"/>
      <c r="AI6" s="510"/>
      <c r="AJ6" s="510"/>
      <c r="AK6" s="510"/>
      <c r="AL6" s="510"/>
      <c r="AM6" s="510"/>
      <c r="AN6" s="510"/>
      <c r="AO6" s="510"/>
      <c r="AP6" s="510"/>
    </row>
    <row r="7" spans="2:42" ht="15.75" thickBot="1" x14ac:dyDescent="0.3">
      <c r="B7" s="42" t="s">
        <v>158</v>
      </c>
      <c r="C7" s="105"/>
      <c r="D7" s="520" t="s">
        <v>389</v>
      </c>
      <c r="E7" s="521"/>
      <c r="F7" s="521"/>
      <c r="G7" s="521"/>
      <c r="H7" s="521"/>
      <c r="I7" s="522"/>
      <c r="K7" s="41" t="s">
        <v>161</v>
      </c>
      <c r="N7" s="464" t="s">
        <v>359</v>
      </c>
      <c r="O7" s="465"/>
      <c r="P7" s="465"/>
      <c r="Q7" s="466"/>
      <c r="S7" s="523" t="s">
        <v>239</v>
      </c>
      <c r="T7" s="524"/>
      <c r="Z7" s="509"/>
      <c r="AA7" s="510"/>
      <c r="AB7" s="510"/>
      <c r="AC7" s="510"/>
      <c r="AD7" s="510"/>
      <c r="AE7" s="511"/>
      <c r="AF7" s="509"/>
      <c r="AG7" s="510"/>
      <c r="AH7" s="510"/>
      <c r="AI7" s="510"/>
      <c r="AJ7" s="510"/>
      <c r="AK7" s="510"/>
      <c r="AL7" s="510"/>
      <c r="AM7" s="510"/>
      <c r="AN7" s="510"/>
      <c r="AO7" s="510"/>
      <c r="AP7" s="510"/>
    </row>
    <row r="8" spans="2:42" ht="15.75" thickTop="1" x14ac:dyDescent="0.25">
      <c r="B8" s="42" t="s">
        <v>154</v>
      </c>
      <c r="C8" s="105"/>
      <c r="D8" s="520" t="s">
        <v>390</v>
      </c>
      <c r="E8" s="521"/>
      <c r="F8" s="521"/>
      <c r="G8" s="521"/>
      <c r="H8" s="521"/>
      <c r="I8" s="522"/>
      <c r="S8" s="207">
        <v>0</v>
      </c>
      <c r="T8" s="208">
        <v>0</v>
      </c>
      <c r="Z8" s="509"/>
      <c r="AA8" s="510"/>
      <c r="AB8" s="510"/>
      <c r="AC8" s="510"/>
      <c r="AD8" s="510"/>
      <c r="AE8" s="511"/>
      <c r="AF8" s="509"/>
      <c r="AG8" s="510"/>
      <c r="AH8" s="510"/>
      <c r="AI8" s="510"/>
      <c r="AJ8" s="510"/>
      <c r="AK8" s="510"/>
      <c r="AL8" s="510"/>
      <c r="AM8" s="510"/>
      <c r="AN8" s="510"/>
      <c r="AO8" s="510"/>
      <c r="AP8" s="510"/>
    </row>
    <row r="9" spans="2:42" x14ac:dyDescent="0.25">
      <c r="B9" s="42" t="s">
        <v>155</v>
      </c>
      <c r="C9" s="105"/>
      <c r="D9" s="525" t="s">
        <v>391</v>
      </c>
      <c r="E9" s="526"/>
      <c r="F9" s="526"/>
      <c r="G9" s="526"/>
      <c r="H9" s="526"/>
      <c r="I9" s="527"/>
      <c r="K9" s="41" t="s">
        <v>163</v>
      </c>
      <c r="N9" s="464"/>
      <c r="O9" s="465"/>
      <c r="P9" s="465"/>
      <c r="Q9" s="466"/>
      <c r="S9" s="206" t="s">
        <v>7</v>
      </c>
      <c r="T9" s="209">
        <v>3000</v>
      </c>
      <c r="Z9" s="509"/>
      <c r="AA9" s="510"/>
      <c r="AB9" s="510"/>
      <c r="AC9" s="510"/>
      <c r="AD9" s="510"/>
      <c r="AE9" s="511"/>
      <c r="AF9" s="509"/>
      <c r="AG9" s="510"/>
      <c r="AH9" s="510"/>
      <c r="AI9" s="510"/>
      <c r="AJ9" s="510"/>
      <c r="AK9" s="510"/>
      <c r="AL9" s="510"/>
      <c r="AM9" s="510"/>
      <c r="AN9" s="510"/>
      <c r="AO9" s="510"/>
      <c r="AP9" s="510"/>
    </row>
    <row r="10" spans="2:42" x14ac:dyDescent="0.25">
      <c r="B10" s="41" t="s">
        <v>156</v>
      </c>
      <c r="C10" s="105"/>
      <c r="D10" s="520" t="s">
        <v>392</v>
      </c>
      <c r="E10" s="521"/>
      <c r="F10" s="521"/>
      <c r="G10" s="521"/>
      <c r="H10" s="521"/>
      <c r="I10" s="522"/>
      <c r="K10" s="41" t="s">
        <v>164</v>
      </c>
      <c r="N10" s="464" t="s">
        <v>340</v>
      </c>
      <c r="O10" s="465"/>
      <c r="P10" s="465"/>
      <c r="Q10" s="466"/>
      <c r="S10" s="206" t="s">
        <v>6</v>
      </c>
      <c r="T10" s="209">
        <v>6000</v>
      </c>
      <c r="Z10" s="509"/>
      <c r="AA10" s="510"/>
      <c r="AB10" s="510"/>
      <c r="AC10" s="510"/>
      <c r="AD10" s="510"/>
      <c r="AE10" s="511"/>
      <c r="AF10" s="509"/>
      <c r="AG10" s="510"/>
      <c r="AH10" s="510"/>
      <c r="AI10" s="510"/>
      <c r="AJ10" s="510"/>
      <c r="AK10" s="510"/>
      <c r="AL10" s="510"/>
      <c r="AM10" s="510"/>
      <c r="AN10" s="510"/>
      <c r="AO10" s="510"/>
      <c r="AP10" s="510"/>
    </row>
    <row r="11" spans="2:42" x14ac:dyDescent="0.25">
      <c r="B11" s="41" t="s">
        <v>157</v>
      </c>
      <c r="C11" s="105"/>
      <c r="D11" s="520" t="s">
        <v>393</v>
      </c>
      <c r="E11" s="521"/>
      <c r="F11" s="521"/>
      <c r="G11" s="521"/>
      <c r="H11" s="521"/>
      <c r="I11" s="522"/>
      <c r="N11" s="464" t="s">
        <v>339</v>
      </c>
      <c r="O11" s="465"/>
      <c r="P11" s="465"/>
      <c r="Q11" s="466"/>
      <c r="S11" s="206" t="s">
        <v>5</v>
      </c>
      <c r="T11" s="209">
        <v>9000</v>
      </c>
      <c r="Z11" s="509"/>
      <c r="AA11" s="510"/>
      <c r="AB11" s="510"/>
      <c r="AC11" s="510"/>
      <c r="AD11" s="510"/>
      <c r="AE11" s="511"/>
      <c r="AF11" s="509"/>
      <c r="AG11" s="510"/>
      <c r="AH11" s="510"/>
      <c r="AI11" s="510"/>
      <c r="AJ11" s="510"/>
      <c r="AK11" s="510"/>
      <c r="AL11" s="510"/>
      <c r="AM11" s="510"/>
      <c r="AN11" s="510"/>
      <c r="AO11" s="510"/>
      <c r="AP11" s="510"/>
    </row>
    <row r="12" spans="2:42" x14ac:dyDescent="0.25">
      <c r="S12" s="206" t="s">
        <v>24</v>
      </c>
      <c r="T12" s="209">
        <v>12000</v>
      </c>
      <c r="Z12" s="509"/>
      <c r="AA12" s="510"/>
      <c r="AB12" s="510"/>
      <c r="AC12" s="510"/>
      <c r="AD12" s="510"/>
      <c r="AE12" s="511"/>
      <c r="AF12" s="509"/>
      <c r="AG12" s="510"/>
      <c r="AH12" s="510"/>
      <c r="AI12" s="510"/>
      <c r="AJ12" s="510"/>
      <c r="AK12" s="510"/>
      <c r="AL12" s="510"/>
      <c r="AM12" s="510"/>
      <c r="AN12" s="510"/>
      <c r="AO12" s="510"/>
      <c r="AP12" s="510"/>
    </row>
    <row r="13" spans="2:42" x14ac:dyDescent="0.25">
      <c r="S13" s="206" t="s">
        <v>25</v>
      </c>
      <c r="T13" s="209">
        <v>15000</v>
      </c>
      <c r="Z13" s="509"/>
      <c r="AA13" s="510"/>
      <c r="AB13" s="510"/>
      <c r="AC13" s="510"/>
      <c r="AD13" s="510"/>
      <c r="AE13" s="511"/>
      <c r="AF13" s="509"/>
      <c r="AG13" s="510"/>
      <c r="AH13" s="510"/>
      <c r="AI13" s="510"/>
      <c r="AJ13" s="510"/>
      <c r="AK13" s="510"/>
      <c r="AL13" s="510"/>
      <c r="AM13" s="510"/>
      <c r="AN13" s="510"/>
      <c r="AO13" s="510"/>
      <c r="AP13" s="510"/>
    </row>
    <row r="14" spans="2:42" ht="15.75" thickBot="1" x14ac:dyDescent="0.3">
      <c r="S14" s="206" t="s">
        <v>26</v>
      </c>
      <c r="T14" s="209"/>
      <c r="Z14" s="512"/>
      <c r="AA14" s="513"/>
      <c r="AB14" s="513"/>
      <c r="AC14" s="513"/>
      <c r="AD14" s="513"/>
      <c r="AE14" s="514"/>
      <c r="AF14" s="509"/>
      <c r="AG14" s="510"/>
      <c r="AH14" s="510"/>
      <c r="AI14" s="510"/>
      <c r="AJ14" s="510"/>
      <c r="AK14" s="510"/>
      <c r="AL14" s="510"/>
      <c r="AM14" s="510"/>
      <c r="AN14" s="510"/>
      <c r="AO14" s="510"/>
      <c r="AP14" s="510"/>
    </row>
    <row r="15" spans="2:42" x14ac:dyDescent="0.25">
      <c r="S15" s="206" t="s">
        <v>27</v>
      </c>
      <c r="T15" s="209"/>
      <c r="Z15" s="506" t="s">
        <v>112</v>
      </c>
      <c r="AA15" s="507"/>
      <c r="AB15" s="507"/>
      <c r="AC15" s="507"/>
      <c r="AD15" s="507"/>
      <c r="AE15" s="508"/>
      <c r="AF15" s="205"/>
    </row>
    <row r="16" spans="2:42" x14ac:dyDescent="0.25">
      <c r="S16" s="206" t="s">
        <v>28</v>
      </c>
      <c r="T16" s="209"/>
      <c r="Z16" s="509"/>
      <c r="AA16" s="510"/>
      <c r="AB16" s="510"/>
      <c r="AC16" s="510"/>
      <c r="AD16" s="510"/>
      <c r="AE16" s="511"/>
    </row>
    <row r="17" spans="2:31" x14ac:dyDescent="0.25">
      <c r="B17" s="42" t="s">
        <v>109</v>
      </c>
      <c r="C17" s="42"/>
      <c r="D17" s="470">
        <v>46134</v>
      </c>
      <c r="E17" s="471"/>
      <c r="F17" s="471"/>
      <c r="G17" s="472"/>
      <c r="K17" s="41" t="s">
        <v>129</v>
      </c>
      <c r="N17" s="464" t="s">
        <v>268</v>
      </c>
      <c r="O17" s="465"/>
      <c r="P17" s="465"/>
      <c r="Q17" s="466"/>
      <c r="S17" s="206" t="s">
        <v>29</v>
      </c>
      <c r="T17" s="209"/>
      <c r="Z17" s="509"/>
      <c r="AA17" s="510"/>
      <c r="AB17" s="510"/>
      <c r="AC17" s="510"/>
      <c r="AD17" s="510"/>
      <c r="AE17" s="511"/>
    </row>
    <row r="18" spans="2:31" x14ac:dyDescent="0.25">
      <c r="B18" s="42" t="s">
        <v>108</v>
      </c>
      <c r="C18" s="42"/>
      <c r="D18" s="493" t="s">
        <v>401</v>
      </c>
      <c r="E18" s="494"/>
      <c r="F18" s="494"/>
      <c r="G18" s="495"/>
      <c r="K18" s="491" t="s">
        <v>104</v>
      </c>
      <c r="L18" s="491"/>
      <c r="M18" s="492"/>
      <c r="N18" s="293">
        <v>15000</v>
      </c>
      <c r="O18" s="465" t="s">
        <v>3</v>
      </c>
      <c r="P18" s="465"/>
      <c r="Q18" s="466"/>
      <c r="S18" s="206" t="s">
        <v>30</v>
      </c>
      <c r="T18" s="209"/>
      <c r="Z18" s="509"/>
      <c r="AA18" s="510"/>
      <c r="AB18" s="510"/>
      <c r="AC18" s="510"/>
      <c r="AD18" s="510"/>
      <c r="AE18" s="511"/>
    </row>
    <row r="19" spans="2:31" x14ac:dyDescent="0.25">
      <c r="B19" s="42" t="s">
        <v>107</v>
      </c>
      <c r="C19" s="42"/>
      <c r="D19" s="464" t="s">
        <v>132</v>
      </c>
      <c r="E19" s="465"/>
      <c r="F19" s="465"/>
      <c r="G19" s="466"/>
      <c r="K19" s="491" t="s">
        <v>103</v>
      </c>
      <c r="L19" s="491"/>
      <c r="M19" s="492"/>
      <c r="N19" s="110">
        <v>0</v>
      </c>
      <c r="O19" s="326" t="str">
        <f>" "&amp;O18&amp;" to "</f>
        <v xml:space="preserve"> kgf to </v>
      </c>
      <c r="P19" s="431">
        <v>15000</v>
      </c>
      <c r="Q19" s="327" t="str">
        <f>O18</f>
        <v>kgf</v>
      </c>
      <c r="S19" s="206">
        <v>0</v>
      </c>
      <c r="T19" s="209">
        <v>0</v>
      </c>
      <c r="Z19" s="509"/>
      <c r="AA19" s="510"/>
      <c r="AB19" s="510"/>
      <c r="AC19" s="510"/>
      <c r="AD19" s="510"/>
      <c r="AE19" s="511"/>
    </row>
    <row r="20" spans="2:31" x14ac:dyDescent="0.25">
      <c r="B20" s="42" t="s">
        <v>360</v>
      </c>
      <c r="C20" s="42"/>
      <c r="D20" s="464"/>
      <c r="E20" s="465"/>
      <c r="F20" s="465"/>
      <c r="G20" s="466"/>
      <c r="K20" s="112" t="s">
        <v>167</v>
      </c>
      <c r="L20" s="42"/>
      <c r="M20" s="111" t="s">
        <v>168</v>
      </c>
      <c r="N20" s="110">
        <v>50</v>
      </c>
      <c r="O20" s="502" t="str">
        <f>Q19</f>
        <v>kgf</v>
      </c>
      <c r="P20" s="502"/>
      <c r="Q20" s="503"/>
      <c r="S20" s="273"/>
      <c r="T20"/>
      <c r="Z20" s="509"/>
      <c r="AA20" s="510"/>
      <c r="AB20" s="510"/>
      <c r="AC20" s="510"/>
      <c r="AD20" s="510"/>
      <c r="AE20" s="511"/>
    </row>
    <row r="21" spans="2:31" x14ac:dyDescent="0.25">
      <c r="B21" s="41" t="s">
        <v>373</v>
      </c>
      <c r="D21" s="464" t="s">
        <v>374</v>
      </c>
      <c r="E21" s="465"/>
      <c r="F21" s="465"/>
      <c r="G21" s="466"/>
      <c r="K21" s="491" t="s">
        <v>105</v>
      </c>
      <c r="L21" s="491"/>
      <c r="M21" s="492"/>
      <c r="N21" s="110">
        <v>50</v>
      </c>
      <c r="O21" s="502" t="str">
        <f>Q19</f>
        <v>kgf</v>
      </c>
      <c r="P21" s="502"/>
      <c r="Q21" s="503"/>
      <c r="S21" s="273"/>
      <c r="T21" s="315"/>
      <c r="Z21" s="509"/>
      <c r="AA21" s="510"/>
      <c r="AB21" s="510"/>
      <c r="AC21" s="510"/>
      <c r="AD21" s="510"/>
      <c r="AE21" s="511"/>
    </row>
    <row r="22" spans="2:31" x14ac:dyDescent="0.25">
      <c r="B22" s="42" t="s">
        <v>338</v>
      </c>
      <c r="C22" s="42"/>
      <c r="D22"/>
      <c r="K22" s="422"/>
      <c r="L22" s="422"/>
      <c r="M22" s="422"/>
      <c r="N22" s="428"/>
      <c r="O22" s="429"/>
      <c r="P22" s="429"/>
      <c r="Q22" s="429"/>
      <c r="S22" s="273"/>
      <c r="T22" s="315"/>
      <c r="Z22" s="509"/>
      <c r="AA22" s="510"/>
      <c r="AB22" s="510"/>
      <c r="AC22" s="510"/>
      <c r="AD22" s="510"/>
      <c r="AE22" s="511"/>
    </row>
    <row r="23" spans="2:31" x14ac:dyDescent="0.25">
      <c r="B23" s="42" t="s">
        <v>95</v>
      </c>
      <c r="C23" s="42"/>
      <c r="D23" s="464" t="s">
        <v>394</v>
      </c>
      <c r="E23" s="465"/>
      <c r="F23" s="465"/>
      <c r="G23" s="466"/>
      <c r="Z23" s="509"/>
      <c r="AA23" s="510"/>
      <c r="AB23" s="510"/>
      <c r="AC23" s="510"/>
      <c r="AD23" s="510"/>
      <c r="AE23" s="511"/>
    </row>
    <row r="24" spans="2:31" x14ac:dyDescent="0.25">
      <c r="B24" s="42" t="s">
        <v>96</v>
      </c>
      <c r="C24" s="42"/>
      <c r="D24" s="501" t="s">
        <v>402</v>
      </c>
      <c r="E24" s="468"/>
      <c r="F24" s="468"/>
      <c r="G24" s="469"/>
      <c r="Z24" s="509"/>
      <c r="AA24" s="510"/>
      <c r="AB24" s="510"/>
      <c r="AC24" s="510"/>
      <c r="AD24" s="510"/>
      <c r="AE24" s="511"/>
    </row>
    <row r="25" spans="2:31" x14ac:dyDescent="0.25">
      <c r="B25" s="42" t="s">
        <v>337</v>
      </c>
      <c r="C25" s="42"/>
      <c r="D25"/>
      <c r="Z25" s="509"/>
      <c r="AA25" s="510"/>
      <c r="AB25" s="510"/>
      <c r="AC25" s="510"/>
      <c r="AD25" s="510"/>
      <c r="AE25" s="511"/>
    </row>
    <row r="26" spans="2:31" x14ac:dyDescent="0.25">
      <c r="B26" s="42" t="s">
        <v>95</v>
      </c>
      <c r="C26" s="42"/>
      <c r="D26" s="464" t="s">
        <v>395</v>
      </c>
      <c r="E26" s="465"/>
      <c r="F26" s="465"/>
      <c r="G26" s="466"/>
      <c r="Z26" s="509"/>
      <c r="AA26" s="510"/>
      <c r="AB26" s="510"/>
      <c r="AC26" s="510"/>
      <c r="AD26" s="510"/>
      <c r="AE26" s="511"/>
    </row>
    <row r="27" spans="2:31" x14ac:dyDescent="0.25">
      <c r="B27" s="42" t="s">
        <v>96</v>
      </c>
      <c r="C27" s="42"/>
      <c r="D27" s="467" t="s">
        <v>403</v>
      </c>
      <c r="E27" s="468"/>
      <c r="F27" s="468"/>
      <c r="G27" s="469"/>
      <c r="Z27" s="509"/>
      <c r="AA27" s="510"/>
      <c r="AB27" s="510"/>
      <c r="AC27" s="510"/>
      <c r="AD27" s="510"/>
      <c r="AE27" s="511"/>
    </row>
    <row r="28" spans="2:31" x14ac:dyDescent="0.25">
      <c r="Z28" s="509"/>
      <c r="AA28" s="510"/>
      <c r="AB28" s="510"/>
      <c r="AC28" s="510"/>
      <c r="AD28" s="510"/>
      <c r="AE28" s="511"/>
    </row>
    <row r="29" spans="2:31" x14ac:dyDescent="0.25">
      <c r="B29" s="499" t="s">
        <v>117</v>
      </c>
      <c r="C29" s="500"/>
      <c r="D29" s="464"/>
      <c r="E29" s="465"/>
      <c r="F29" s="465"/>
      <c r="G29" s="465"/>
      <c r="H29" s="465"/>
      <c r="I29" s="465"/>
      <c r="J29" s="465"/>
      <c r="K29" s="465"/>
      <c r="L29" s="465"/>
      <c r="M29" s="465"/>
      <c r="N29" s="465"/>
      <c r="O29" s="465"/>
      <c r="P29" s="465"/>
      <c r="Q29" s="466"/>
      <c r="Z29" s="509"/>
      <c r="AA29" s="510"/>
      <c r="AB29" s="510"/>
      <c r="AC29" s="510"/>
      <c r="AD29" s="510"/>
      <c r="AE29" s="511"/>
    </row>
    <row r="30" spans="2:31" x14ac:dyDescent="0.25">
      <c r="B30" s="499"/>
      <c r="C30" s="500"/>
      <c r="D30" s="464"/>
      <c r="E30" s="465"/>
      <c r="F30" s="465"/>
      <c r="G30" s="465"/>
      <c r="H30" s="465"/>
      <c r="I30" s="465"/>
      <c r="J30" s="465"/>
      <c r="K30" s="465"/>
      <c r="L30" s="465"/>
      <c r="M30" s="465"/>
      <c r="N30" s="465"/>
      <c r="O30" s="465"/>
      <c r="P30" s="465"/>
      <c r="Q30" s="466"/>
      <c r="Z30" s="509"/>
      <c r="AA30" s="510"/>
      <c r="AB30" s="510"/>
      <c r="AC30" s="510"/>
      <c r="AD30" s="510"/>
      <c r="AE30" s="511"/>
    </row>
    <row r="31" spans="2:31" x14ac:dyDescent="0.25">
      <c r="G31" s="57" t="s">
        <v>114</v>
      </c>
      <c r="H31" s="56"/>
      <c r="I31" s="56"/>
      <c r="J31" s="56"/>
      <c r="K31" s="56"/>
      <c r="L31" s="56"/>
      <c r="M31" s="56"/>
      <c r="N31" s="56"/>
      <c r="O31" s="56"/>
      <c r="P31" s="56"/>
      <c r="Q31" s="56"/>
      <c r="Z31" s="509"/>
      <c r="AA31" s="510"/>
      <c r="AB31" s="510"/>
      <c r="AC31" s="510"/>
      <c r="AD31" s="510"/>
      <c r="AE31" s="511"/>
    </row>
    <row r="32" spans="2:31" ht="15.75" thickBot="1" x14ac:dyDescent="0.3">
      <c r="B32" s="486" t="s">
        <v>113</v>
      </c>
      <c r="C32" s="486"/>
      <c r="D32" s="58"/>
      <c r="E32" s="58"/>
      <c r="F32" s="58"/>
      <c r="G32" s="59"/>
      <c r="H32" s="59"/>
      <c r="I32" s="59"/>
      <c r="J32" s="59"/>
      <c r="K32" s="59"/>
      <c r="L32" s="59"/>
      <c r="M32" s="59"/>
      <c r="N32" s="59"/>
      <c r="O32" s="59"/>
      <c r="P32" s="59"/>
      <c r="Q32" s="59"/>
      <c r="Z32" s="512"/>
      <c r="AA32" s="513"/>
      <c r="AB32" s="513"/>
      <c r="AC32" s="513"/>
      <c r="AD32" s="513"/>
      <c r="AE32" s="514"/>
    </row>
    <row r="33" spans="2:37" x14ac:dyDescent="0.25">
      <c r="B33" s="486"/>
      <c r="C33" s="486"/>
      <c r="D33" s="58"/>
      <c r="E33" s="58"/>
      <c r="F33" s="58"/>
      <c r="G33" s="59"/>
      <c r="H33" s="59"/>
      <c r="I33" s="59"/>
      <c r="J33" s="59"/>
      <c r="K33" s="59"/>
      <c r="L33" s="59"/>
      <c r="M33" s="59"/>
      <c r="N33" s="59"/>
      <c r="O33" s="59"/>
      <c r="P33" s="59"/>
      <c r="Q33" s="59"/>
    </row>
    <row r="34" spans="2:37" x14ac:dyDescent="0.25">
      <c r="B34" s="486"/>
      <c r="C34" s="486"/>
      <c r="D34" s="58"/>
      <c r="E34" s="58"/>
      <c r="F34" s="58"/>
      <c r="G34" s="59"/>
      <c r="H34" s="59"/>
      <c r="I34" s="59"/>
      <c r="J34" s="59"/>
      <c r="K34" s="59"/>
      <c r="L34" s="59"/>
      <c r="M34" s="59"/>
      <c r="N34" s="59"/>
      <c r="O34" s="59" t="s">
        <v>187</v>
      </c>
      <c r="P34" s="59"/>
      <c r="Q34" s="59"/>
    </row>
    <row r="37" spans="2:37" ht="15.75" thickBot="1" x14ac:dyDescent="0.3"/>
    <row r="38" spans="2:37" x14ac:dyDescent="0.25">
      <c r="B38" s="484" t="s">
        <v>97</v>
      </c>
      <c r="C38" s="479"/>
      <c r="D38" s="478" t="s">
        <v>43</v>
      </c>
      <c r="E38" s="479"/>
      <c r="F38" s="482" t="s">
        <v>98</v>
      </c>
      <c r="G38" s="475"/>
      <c r="H38" s="489" t="s">
        <v>99</v>
      </c>
      <c r="I38" s="479"/>
      <c r="J38" s="487" t="s">
        <v>115</v>
      </c>
      <c r="K38" s="475" t="s">
        <v>106</v>
      </c>
      <c r="L38" s="50"/>
      <c r="M38" s="496" t="s">
        <v>100</v>
      </c>
      <c r="N38" s="497"/>
      <c r="O38" s="497"/>
      <c r="P38" s="497"/>
      <c r="Q38" s="497"/>
      <c r="R38" s="497"/>
      <c r="S38" s="497"/>
      <c r="T38" s="497"/>
      <c r="U38" s="497"/>
      <c r="V38" s="498"/>
      <c r="W38" s="53"/>
      <c r="X38" s="517" t="s">
        <v>101</v>
      </c>
      <c r="Y38" s="518"/>
      <c r="Z38" s="518"/>
      <c r="AA38" s="518"/>
      <c r="AB38" s="518"/>
      <c r="AC38" s="518"/>
      <c r="AD38" s="518"/>
      <c r="AE38" s="518"/>
      <c r="AF38" s="518"/>
      <c r="AG38" s="519"/>
      <c r="AH38" s="53"/>
      <c r="AI38" s="504" t="s">
        <v>32</v>
      </c>
      <c r="AJ38" s="504" t="s">
        <v>116</v>
      </c>
      <c r="AK38" s="515" t="s">
        <v>102</v>
      </c>
    </row>
    <row r="39" spans="2:37" ht="15.75" thickBot="1" x14ac:dyDescent="0.3">
      <c r="B39" s="485"/>
      <c r="C39" s="481"/>
      <c r="D39" s="480"/>
      <c r="E39" s="481"/>
      <c r="F39" s="483"/>
      <c r="G39" s="476"/>
      <c r="H39" s="490"/>
      <c r="I39" s="481"/>
      <c r="J39" s="488"/>
      <c r="K39" s="476"/>
      <c r="L39" s="51"/>
      <c r="M39" s="47" t="s">
        <v>7</v>
      </c>
      <c r="N39" s="47" t="s">
        <v>6</v>
      </c>
      <c r="O39" s="47" t="s">
        <v>5</v>
      </c>
      <c r="P39" s="47" t="s">
        <v>24</v>
      </c>
      <c r="Q39" s="47" t="s">
        <v>25</v>
      </c>
      <c r="R39" s="47" t="s">
        <v>26</v>
      </c>
      <c r="S39" s="47" t="s">
        <v>27</v>
      </c>
      <c r="T39" s="47" t="s">
        <v>28</v>
      </c>
      <c r="U39" s="47" t="s">
        <v>29</v>
      </c>
      <c r="V39" s="48" t="s">
        <v>30</v>
      </c>
      <c r="W39" s="54"/>
      <c r="X39" s="47" t="s">
        <v>7</v>
      </c>
      <c r="Y39" s="47" t="s">
        <v>6</v>
      </c>
      <c r="Z39" s="47" t="s">
        <v>5</v>
      </c>
      <c r="AA39" s="47" t="s">
        <v>24</v>
      </c>
      <c r="AB39" s="47" t="s">
        <v>25</v>
      </c>
      <c r="AC39" s="47" t="s">
        <v>26</v>
      </c>
      <c r="AD39" s="47" t="s">
        <v>27</v>
      </c>
      <c r="AE39" s="47" t="s">
        <v>28</v>
      </c>
      <c r="AF39" s="47" t="s">
        <v>29</v>
      </c>
      <c r="AG39" s="48" t="s">
        <v>30</v>
      </c>
      <c r="AH39" s="54"/>
      <c r="AI39" s="505"/>
      <c r="AJ39" s="505"/>
      <c r="AK39" s="516"/>
    </row>
    <row r="40" spans="2:37" ht="15.75" thickBot="1" x14ac:dyDescent="0.3">
      <c r="B40" s="477"/>
      <c r="C40" s="474"/>
      <c r="D40" s="473"/>
      <c r="E40" s="474"/>
      <c r="F40" s="43"/>
      <c r="G40" s="45"/>
      <c r="H40" s="473"/>
      <c r="I40" s="474"/>
      <c r="J40" s="49"/>
      <c r="K40" s="49"/>
      <c r="L40" s="52"/>
      <c r="M40" s="46"/>
      <c r="N40" s="46"/>
      <c r="O40" s="46"/>
      <c r="P40" s="46"/>
      <c r="Q40" s="46"/>
      <c r="R40" s="46"/>
      <c r="S40" s="46"/>
      <c r="T40" s="46"/>
      <c r="U40" s="46"/>
      <c r="V40" s="46"/>
      <c r="W40" s="55"/>
      <c r="X40" s="46"/>
      <c r="Y40" s="46"/>
      <c r="Z40" s="46"/>
      <c r="AA40" s="46"/>
      <c r="AB40" s="46"/>
      <c r="AC40" s="46"/>
      <c r="AD40" s="46"/>
      <c r="AE40" s="46"/>
      <c r="AF40" s="46"/>
      <c r="AG40" s="46"/>
      <c r="AH40" s="55"/>
      <c r="AI40" s="46"/>
      <c r="AJ40" s="46"/>
      <c r="AK40" s="44"/>
    </row>
  </sheetData>
  <dataConsolidate/>
  <mergeCells count="48">
    <mergeCell ref="D10:I10"/>
    <mergeCell ref="D11:I11"/>
    <mergeCell ref="O18:Q18"/>
    <mergeCell ref="S7:T7"/>
    <mergeCell ref="N7:Q7"/>
    <mergeCell ref="N9:Q9"/>
    <mergeCell ref="N10:Q10"/>
    <mergeCell ref="D7:I7"/>
    <mergeCell ref="D8:I8"/>
    <mergeCell ref="D9:I9"/>
    <mergeCell ref="AJ38:AJ39"/>
    <mergeCell ref="Z3:AE14"/>
    <mergeCell ref="AF3:AJ14"/>
    <mergeCell ref="AK3:AP14"/>
    <mergeCell ref="AK38:AK39"/>
    <mergeCell ref="AI38:AI39"/>
    <mergeCell ref="X38:AG38"/>
    <mergeCell ref="Z15:AE32"/>
    <mergeCell ref="B32:C34"/>
    <mergeCell ref="J38:J39"/>
    <mergeCell ref="H38:I39"/>
    <mergeCell ref="K19:M19"/>
    <mergeCell ref="D18:G18"/>
    <mergeCell ref="D19:G19"/>
    <mergeCell ref="M38:V38"/>
    <mergeCell ref="B29:C30"/>
    <mergeCell ref="D23:G23"/>
    <mergeCell ref="D24:G24"/>
    <mergeCell ref="K18:M18"/>
    <mergeCell ref="O21:Q21"/>
    <mergeCell ref="D29:Q29"/>
    <mergeCell ref="D30:Q30"/>
    <mergeCell ref="O20:Q20"/>
    <mergeCell ref="K21:M21"/>
    <mergeCell ref="H40:I40"/>
    <mergeCell ref="K38:K39"/>
    <mergeCell ref="B40:C40"/>
    <mergeCell ref="D40:E40"/>
    <mergeCell ref="D38:E39"/>
    <mergeCell ref="F38:G39"/>
    <mergeCell ref="B38:C39"/>
    <mergeCell ref="D26:G26"/>
    <mergeCell ref="D27:G27"/>
    <mergeCell ref="N11:Q11"/>
    <mergeCell ref="N17:Q17"/>
    <mergeCell ref="D17:G17"/>
    <mergeCell ref="D20:G20"/>
    <mergeCell ref="D21:G21"/>
  </mergeCells>
  <dataValidations count="6">
    <dataValidation type="list" allowBlank="1" showInputMessage="1" showErrorMessage="1" sqref="N17:Q17" xr:uid="{00000000-0002-0000-0000-000000000000}">
      <formula1>"Compression, Tension"</formula1>
    </dataValidation>
    <dataValidation type="list" allowBlank="1" showInputMessage="1" showErrorMessage="1" sqref="D19:G19" xr:uid="{00000000-0002-0000-0000-000001000000}">
      <formula1>TypesMachine</formula1>
    </dataValidation>
    <dataValidation type="list" allowBlank="1" showInputMessage="1" showErrorMessage="1" sqref="O18" xr:uid="{00000000-0002-0000-0000-000002000000}">
      <formula1>"kgf, lbf, tf, kN"</formula1>
    </dataValidation>
    <dataValidation type="list" allowBlank="1" showInputMessage="1" showErrorMessage="1" sqref="K20:L20" xr:uid="{00000000-0002-0000-0000-000003000000}">
      <formula1>"Increment, Graduation"</formula1>
    </dataValidation>
    <dataValidation type="list" allowBlank="1" showInputMessage="1" showErrorMessage="1" sqref="N10:Q11" xr:uid="{00000000-0002-0000-0000-000004000000}">
      <formula1>calibrators</formula1>
    </dataValidation>
    <dataValidation type="list" allowBlank="1" showInputMessage="1" showErrorMessage="1" sqref="D21" xr:uid="{00000000-0002-0000-0000-000005000000}">
      <formula1>"Yes, No"</formula1>
    </dataValidation>
  </dataValidations>
  <pageMargins left="0.7" right="0.7" top="0.75" bottom="0.75" header="0.3" footer="0.3"/>
  <pageSetup orientation="portrait"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NewCalibration">
                <anchor moveWithCells="1" sizeWithCells="1">
                  <from>
                    <xdr:col>3</xdr:col>
                    <xdr:colOff>247650</xdr:colOff>
                    <xdr:row>31</xdr:row>
                    <xdr:rowOff>190500</xdr:rowOff>
                  </from>
                  <to>
                    <xdr:col>5</xdr:col>
                    <xdr:colOff>876300</xdr:colOff>
                    <xdr:row>33</xdr:row>
                    <xdr:rowOff>285750</xdr:rowOff>
                  </to>
                </anchor>
              </controlPr>
            </control>
          </mc:Choice>
        </mc:AlternateContent>
        <mc:AlternateContent xmlns:mc="http://schemas.openxmlformats.org/markup-compatibility/2006">
          <mc:Choice Requires="x14">
            <control shapeId="24584" r:id="rId5" name="Button 8">
              <controlPr defaultSize="0" print="0" autoFill="0" autoPict="0" macro="[0]!PrintCert">
                <anchor moveWithCells="1" sizeWithCells="1">
                  <from>
                    <xdr:col>6</xdr:col>
                    <xdr:colOff>1123950</xdr:colOff>
                    <xdr:row>31</xdr:row>
                    <xdr:rowOff>190500</xdr:rowOff>
                  </from>
                  <to>
                    <xdr:col>8</xdr:col>
                    <xdr:colOff>1352550</xdr:colOff>
                    <xdr:row>33</xdr:row>
                    <xdr:rowOff>285750</xdr:rowOff>
                  </to>
                </anchor>
              </controlPr>
            </control>
          </mc:Choice>
        </mc:AlternateContent>
        <mc:AlternateContent xmlns:mc="http://schemas.openxmlformats.org/markup-compatibility/2006">
          <mc:Choice Requires="x14">
            <control shapeId="24587" r:id="rId6" name="Button 11">
              <controlPr defaultSize="0" print="0" autoFill="0" autoPict="0" macro="[0]!PrintCalData">
                <anchor moveWithCells="1" sizeWithCells="1">
                  <from>
                    <xdr:col>8</xdr:col>
                    <xdr:colOff>1428750</xdr:colOff>
                    <xdr:row>31</xdr:row>
                    <xdr:rowOff>190500</xdr:rowOff>
                  </from>
                  <to>
                    <xdr:col>10</xdr:col>
                    <xdr:colOff>647700</xdr:colOff>
                    <xdr:row>33</xdr:row>
                    <xdr:rowOff>285750</xdr:rowOff>
                  </to>
                </anchor>
              </controlPr>
            </control>
          </mc:Choice>
        </mc:AlternateContent>
        <mc:AlternateContent xmlns:mc="http://schemas.openxmlformats.org/markup-compatibility/2006">
          <mc:Choice Requires="x14">
            <control shapeId="24588" r:id="rId7" name="Button 12">
              <controlPr defaultSize="0" print="0" autoFill="0" autoPict="0" macro="[0]!PrintRecord">
                <anchor moveWithCells="1" sizeWithCells="1">
                  <from>
                    <xdr:col>10</xdr:col>
                    <xdr:colOff>742950</xdr:colOff>
                    <xdr:row>31</xdr:row>
                    <xdr:rowOff>190500</xdr:rowOff>
                  </from>
                  <to>
                    <xdr:col>13</xdr:col>
                    <xdr:colOff>666750</xdr:colOff>
                    <xdr:row>33</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AR128"/>
  <sheetViews>
    <sheetView showGridLines="0" topLeftCell="A10" zoomScale="99" zoomScaleNormal="100" workbookViewId="0">
      <selection activeCell="I26" sqref="I26"/>
    </sheetView>
  </sheetViews>
  <sheetFormatPr defaultColWidth="9.140625" defaultRowHeight="15" x14ac:dyDescent="0.25"/>
  <cols>
    <col min="1" max="1" width="22.42578125" style="8" customWidth="1"/>
    <col min="2" max="2" width="56.42578125" style="4" customWidth="1"/>
    <col min="3" max="3" width="2.5703125" style="4" customWidth="1"/>
    <col min="4" max="4" width="8.5703125" style="4" customWidth="1"/>
    <col min="5" max="6" width="10.7109375" style="4" customWidth="1"/>
    <col min="7" max="7" width="11.85546875" style="4" hidden="1" customWidth="1"/>
    <col min="8" max="8" width="8.42578125" style="4" hidden="1" customWidth="1"/>
    <col min="9" max="9" width="12.5703125" style="4" customWidth="1"/>
    <col min="10" max="11" width="13.85546875" style="4" customWidth="1"/>
    <col min="12" max="12" width="2.28515625" style="4" customWidth="1"/>
    <col min="13" max="13" width="27.7109375" style="4" customWidth="1"/>
    <col min="14" max="14" width="5.140625" style="4" customWidth="1"/>
    <col min="15" max="16" width="27.7109375" style="4" customWidth="1"/>
    <col min="17" max="18" width="9.140625" style="4" customWidth="1"/>
    <col min="19" max="21" width="9.140625" style="4"/>
    <col min="22" max="23" width="9.140625" style="4" customWidth="1"/>
    <col min="24" max="25" width="9.85546875" style="4" bestFit="1" customWidth="1"/>
    <col min="26" max="27" width="13.140625" style="4" customWidth="1"/>
    <col min="28" max="28" width="11.42578125" style="4" customWidth="1"/>
    <col min="29" max="31" width="10.28515625" style="4" customWidth="1"/>
    <col min="32" max="32" width="7.85546875" style="4" customWidth="1"/>
    <col min="33" max="33" width="2.5703125" style="4" hidden="1" customWidth="1"/>
    <col min="34" max="34" width="7.85546875" style="4" customWidth="1"/>
    <col min="35" max="35" width="2.5703125" style="4" hidden="1" customWidth="1"/>
    <col min="36" max="36" width="9.140625" style="4"/>
    <col min="37" max="39" width="28.7109375" style="4" customWidth="1"/>
    <col min="40" max="40" width="28.85546875" style="4" customWidth="1"/>
    <col min="41" max="42" width="9.140625" style="4"/>
    <col min="43" max="43" width="20.7109375" style="4" customWidth="1"/>
    <col min="44" max="44" width="18.7109375" style="4" customWidth="1"/>
    <col min="45" max="45" width="20.7109375" style="4" customWidth="1"/>
    <col min="46" max="46" width="24.7109375" style="4" customWidth="1"/>
    <col min="47" max="16384" width="9.140625" style="4"/>
  </cols>
  <sheetData>
    <row r="1" spans="1:40" ht="21" x14ac:dyDescent="0.25">
      <c r="A1" s="547" t="s">
        <v>221</v>
      </c>
      <c r="B1" s="547"/>
      <c r="C1" s="547"/>
      <c r="D1" s="547"/>
      <c r="E1" s="547"/>
      <c r="F1" s="547"/>
      <c r="G1" s="547"/>
      <c r="H1" s="547"/>
      <c r="I1" s="547"/>
      <c r="J1" s="547"/>
      <c r="K1" s="547"/>
      <c r="L1" s="547"/>
      <c r="M1" s="547"/>
      <c r="N1" s="162"/>
      <c r="P1"/>
      <c r="Q1"/>
      <c r="R1"/>
      <c r="S1"/>
      <c r="T1"/>
      <c r="U1"/>
      <c r="V1"/>
      <c r="W1"/>
      <c r="X1"/>
      <c r="Y1"/>
      <c r="Z1"/>
      <c r="AA1"/>
      <c r="AB1"/>
      <c r="AC1"/>
      <c r="AD1"/>
      <c r="AE1"/>
      <c r="AF1"/>
      <c r="AG1"/>
      <c r="AH1"/>
      <c r="AI1"/>
      <c r="AJ1"/>
      <c r="AK1"/>
      <c r="AL1"/>
      <c r="AM1"/>
      <c r="AN1"/>
    </row>
    <row r="2" spans="1:40" ht="15.75" x14ac:dyDescent="0.25">
      <c r="A2" s="548" t="s">
        <v>222</v>
      </c>
      <c r="B2" s="548"/>
      <c r="C2" s="548"/>
      <c r="D2" s="548"/>
      <c r="E2" s="548"/>
      <c r="F2" s="548"/>
      <c r="G2" s="548"/>
      <c r="H2" s="548"/>
      <c r="I2" s="548"/>
      <c r="J2" s="548"/>
      <c r="K2" s="548"/>
      <c r="L2" s="548"/>
      <c r="M2" s="548"/>
      <c r="N2" s="163"/>
      <c r="P2"/>
      <c r="Q2"/>
      <c r="R2"/>
      <c r="S2"/>
      <c r="T2"/>
      <c r="U2"/>
      <c r="V2"/>
      <c r="W2"/>
      <c r="X2"/>
      <c r="Y2"/>
      <c r="Z2"/>
      <c r="AA2"/>
      <c r="AB2"/>
      <c r="AC2"/>
      <c r="AD2"/>
      <c r="AE2"/>
      <c r="AF2"/>
      <c r="AG2"/>
      <c r="AH2"/>
      <c r="AI2"/>
      <c r="AJ2"/>
      <c r="AK2"/>
      <c r="AL2"/>
      <c r="AM2"/>
      <c r="AN2"/>
    </row>
    <row r="3" spans="1:40" x14ac:dyDescent="0.25">
      <c r="A3" s="549" t="s">
        <v>235</v>
      </c>
      <c r="B3" s="549"/>
      <c r="C3" s="549"/>
      <c r="D3" s="549"/>
      <c r="E3" s="549"/>
      <c r="F3" s="549"/>
      <c r="G3" s="549"/>
      <c r="H3" s="549"/>
      <c r="I3" s="549"/>
      <c r="J3" s="549"/>
      <c r="K3" s="549"/>
      <c r="L3" s="549"/>
      <c r="M3" s="549"/>
      <c r="N3" s="164"/>
      <c r="P3"/>
      <c r="Q3"/>
      <c r="R3"/>
      <c r="S3"/>
      <c r="T3"/>
      <c r="U3"/>
      <c r="V3"/>
      <c r="W3"/>
      <c r="X3"/>
      <c r="Y3"/>
      <c r="Z3"/>
      <c r="AA3"/>
      <c r="AB3"/>
      <c r="AC3"/>
      <c r="AD3"/>
      <c r="AE3"/>
      <c r="AF3"/>
      <c r="AG3"/>
      <c r="AH3"/>
      <c r="AI3"/>
      <c r="AJ3"/>
      <c r="AK3"/>
      <c r="AL3"/>
      <c r="AM3"/>
      <c r="AN3"/>
    </row>
    <row r="4" spans="1:40" x14ac:dyDescent="0.25">
      <c r="A4" s="550" t="s">
        <v>234</v>
      </c>
      <c r="B4" s="549"/>
      <c r="C4" s="549"/>
      <c r="D4" s="549"/>
      <c r="E4" s="549"/>
      <c r="F4" s="549"/>
      <c r="G4" s="549"/>
      <c r="H4" s="549"/>
      <c r="I4" s="549"/>
      <c r="J4" s="549"/>
      <c r="K4" s="549"/>
      <c r="L4" s="549"/>
      <c r="M4" s="549"/>
      <c r="N4" s="164"/>
      <c r="P4"/>
      <c r="Q4"/>
      <c r="R4"/>
      <c r="S4"/>
      <c r="T4"/>
      <c r="U4"/>
      <c r="V4"/>
      <c r="W4"/>
      <c r="X4"/>
      <c r="Y4"/>
      <c r="Z4"/>
      <c r="AA4"/>
      <c r="AB4"/>
      <c r="AC4"/>
      <c r="AD4"/>
      <c r="AE4"/>
      <c r="AF4"/>
      <c r="AG4"/>
      <c r="AH4"/>
      <c r="AI4"/>
      <c r="AJ4"/>
      <c r="AK4"/>
      <c r="AL4"/>
      <c r="AM4"/>
      <c r="AN4"/>
    </row>
    <row r="5" spans="1:40" ht="26.25" x14ac:dyDescent="0.25">
      <c r="A5" s="536" t="str">
        <f ca="1">IF(NOW()&gt;G40,"Calibration of Standard Expired - DO NOT USE!","")</f>
        <v>Calibration of Standard Expired - DO NOT USE!</v>
      </c>
      <c r="B5" s="536"/>
      <c r="C5" s="536"/>
      <c r="D5" s="536"/>
      <c r="E5" s="536"/>
      <c r="F5" s="536"/>
      <c r="G5" s="536"/>
      <c r="H5" s="536"/>
      <c r="I5" s="536"/>
      <c r="J5" s="536"/>
      <c r="K5" s="536"/>
      <c r="L5" s="536"/>
      <c r="M5" s="536"/>
      <c r="N5" s="164"/>
      <c r="P5"/>
      <c r="Q5"/>
      <c r="R5"/>
      <c r="S5"/>
      <c r="T5"/>
      <c r="U5"/>
      <c r="V5"/>
      <c r="W5"/>
      <c r="X5"/>
      <c r="Y5"/>
      <c r="Z5"/>
      <c r="AA5"/>
      <c r="AB5"/>
      <c r="AC5"/>
      <c r="AD5"/>
      <c r="AE5"/>
      <c r="AF5"/>
      <c r="AG5"/>
      <c r="AH5"/>
      <c r="AI5"/>
      <c r="AJ5"/>
      <c r="AK5"/>
      <c r="AL5"/>
      <c r="AM5"/>
      <c r="AN5"/>
    </row>
    <row r="6" spans="1:40" x14ac:dyDescent="0.25">
      <c r="A6" s="67" t="s">
        <v>43</v>
      </c>
      <c r="B6" s="68">
        <f>'Dash Board'!D17</f>
        <v>46134</v>
      </c>
      <c r="C6" s="67" t="s">
        <v>129</v>
      </c>
      <c r="D6" s="67"/>
      <c r="E6" s="67"/>
      <c r="F6" s="191" t="str">
        <f>'Dash Board'!N17</f>
        <v>Compression</v>
      </c>
      <c r="G6" s="192"/>
      <c r="H6" s="192"/>
      <c r="I6" s="192"/>
      <c r="J6" s="192"/>
      <c r="K6" s="193"/>
      <c r="L6" s="60"/>
      <c r="P6"/>
      <c r="Q6"/>
      <c r="R6"/>
      <c r="S6"/>
      <c r="T6"/>
      <c r="U6"/>
      <c r="V6"/>
      <c r="W6"/>
      <c r="X6"/>
      <c r="Y6"/>
      <c r="Z6"/>
      <c r="AA6"/>
      <c r="AB6"/>
      <c r="AC6"/>
      <c r="AD6"/>
      <c r="AE6"/>
      <c r="AF6"/>
      <c r="AG6"/>
      <c r="AH6"/>
      <c r="AI6"/>
      <c r="AJ6"/>
      <c r="AK6"/>
      <c r="AL6"/>
      <c r="AM6"/>
      <c r="AN6"/>
    </row>
    <row r="7" spans="1:40" x14ac:dyDescent="0.25">
      <c r="A7" s="67" t="s">
        <v>40</v>
      </c>
      <c r="B7" s="69" t="str">
        <f>'Dash Board'!D18</f>
        <v>03-2026-FORC-0087</v>
      </c>
      <c r="C7" s="67" t="s">
        <v>49</v>
      </c>
      <c r="D7" s="67"/>
      <c r="E7" s="67"/>
      <c r="F7" s="170">
        <f>'Dash Board'!N18</f>
        <v>15000</v>
      </c>
      <c r="G7" s="171"/>
      <c r="H7" s="171"/>
      <c r="I7" s="171"/>
      <c r="J7" s="171"/>
      <c r="K7" s="172"/>
      <c r="L7" s="60"/>
      <c r="P7"/>
      <c r="Q7"/>
      <c r="R7"/>
      <c r="S7"/>
      <c r="T7"/>
      <c r="U7"/>
      <c r="V7"/>
      <c r="W7"/>
      <c r="X7"/>
      <c r="Y7"/>
      <c r="Z7"/>
      <c r="AA7"/>
      <c r="AB7"/>
      <c r="AC7"/>
      <c r="AD7"/>
      <c r="AE7"/>
      <c r="AF7"/>
      <c r="AG7"/>
      <c r="AH7"/>
      <c r="AI7"/>
      <c r="AJ7"/>
      <c r="AK7"/>
      <c r="AL7"/>
      <c r="AM7"/>
      <c r="AN7"/>
    </row>
    <row r="8" spans="1:40" x14ac:dyDescent="0.25">
      <c r="A8" s="67" t="s">
        <v>41</v>
      </c>
      <c r="B8" s="69" t="str">
        <f>'Dash Board'!D19</f>
        <v>Axle Weighing Scale</v>
      </c>
      <c r="C8" s="67" t="s">
        <v>45</v>
      </c>
      <c r="D8" s="67"/>
      <c r="E8" s="67"/>
      <c r="F8" s="167" t="str">
        <f>'Dash Board'!N19&amp;'Dash Board'!O19&amp;'Dash Board'!P19&amp;" "&amp;'Dash Board'!Q19</f>
        <v>0 kgf to 15000 kgf</v>
      </c>
      <c r="G8" s="168"/>
      <c r="H8" s="168"/>
      <c r="I8" s="168"/>
      <c r="J8" s="168"/>
      <c r="K8" s="169"/>
      <c r="L8" s="60"/>
      <c r="P8"/>
      <c r="Q8"/>
      <c r="R8"/>
      <c r="S8"/>
      <c r="T8"/>
      <c r="U8"/>
      <c r="V8"/>
      <c r="W8"/>
      <c r="X8"/>
      <c r="Y8"/>
      <c r="Z8"/>
      <c r="AA8"/>
      <c r="AB8"/>
      <c r="AC8"/>
      <c r="AD8"/>
      <c r="AE8"/>
      <c r="AF8"/>
      <c r="AG8"/>
      <c r="AH8"/>
      <c r="AI8"/>
      <c r="AJ8"/>
      <c r="AK8"/>
      <c r="AL8"/>
      <c r="AM8"/>
      <c r="AN8"/>
    </row>
    <row r="9" spans="1:40" x14ac:dyDescent="0.25">
      <c r="A9" s="67" t="s">
        <v>42</v>
      </c>
      <c r="B9" s="69" t="str">
        <f>'Dash Board'!D23</f>
        <v>LS 630 W. PAD</v>
      </c>
      <c r="C9" s="67" t="s">
        <v>46</v>
      </c>
      <c r="D9" s="67"/>
      <c r="E9" s="67"/>
      <c r="F9" s="314" t="str">
        <f>'Dash Board'!N20&amp;" "&amp;'Dash Board'!O20</f>
        <v>50 kgf</v>
      </c>
      <c r="G9" s="168"/>
      <c r="H9" s="168"/>
      <c r="I9" s="168"/>
      <c r="J9" s="168"/>
      <c r="K9" s="169"/>
      <c r="L9" s="60"/>
      <c r="P9"/>
      <c r="Q9"/>
      <c r="R9"/>
      <c r="S9"/>
      <c r="T9"/>
      <c r="U9"/>
      <c r="V9"/>
      <c r="W9"/>
      <c r="X9"/>
      <c r="Y9"/>
      <c r="Z9"/>
      <c r="AA9"/>
      <c r="AB9"/>
      <c r="AC9"/>
      <c r="AD9"/>
      <c r="AE9"/>
      <c r="AF9"/>
      <c r="AG9"/>
      <c r="AH9"/>
      <c r="AI9"/>
      <c r="AJ9"/>
      <c r="AK9"/>
      <c r="AL9"/>
      <c r="AM9"/>
      <c r="AN9"/>
    </row>
    <row r="10" spans="1:40" x14ac:dyDescent="0.25">
      <c r="A10" s="67" t="s">
        <v>44</v>
      </c>
      <c r="B10" s="70" t="str">
        <f>'Dash Board'!D24</f>
        <v>0122YL21002</v>
      </c>
      <c r="C10" s="67" t="s">
        <v>37</v>
      </c>
      <c r="D10" s="67"/>
      <c r="E10" s="67"/>
      <c r="F10" s="314" t="str">
        <f>'Dash Board'!N21&amp;" "&amp;'Dash Board'!O21</f>
        <v>50 kgf</v>
      </c>
      <c r="G10" s="165"/>
      <c r="H10" s="165"/>
      <c r="I10" s="165"/>
      <c r="J10" s="165"/>
      <c r="K10" s="166"/>
      <c r="L10" s="60"/>
      <c r="P10"/>
      <c r="Q10"/>
      <c r="R10"/>
      <c r="S10"/>
      <c r="T10"/>
      <c r="U10"/>
      <c r="V10"/>
      <c r="W10"/>
      <c r="X10"/>
      <c r="Y10"/>
      <c r="Z10"/>
      <c r="AA10"/>
      <c r="AB10"/>
      <c r="AC10"/>
      <c r="AD10"/>
      <c r="AE10"/>
      <c r="AF10"/>
      <c r="AG10"/>
      <c r="AH10"/>
      <c r="AI10"/>
      <c r="AJ10"/>
      <c r="AK10"/>
      <c r="AL10"/>
      <c r="AM10"/>
      <c r="AN10"/>
    </row>
    <row r="11" spans="1:40" ht="18.75" customHeight="1" x14ac:dyDescent="0.25">
      <c r="A11" s="20"/>
      <c r="M11" s="23"/>
      <c r="N11" s="23"/>
      <c r="P11"/>
      <c r="Q11"/>
      <c r="R11"/>
      <c r="S11"/>
      <c r="T11"/>
      <c r="U11"/>
      <c r="V11"/>
      <c r="W11"/>
      <c r="X11"/>
      <c r="Y11"/>
      <c r="Z11"/>
      <c r="AA11"/>
      <c r="AB11"/>
      <c r="AC11"/>
      <c r="AD11"/>
      <c r="AE11"/>
      <c r="AF11"/>
      <c r="AG11"/>
      <c r="AH11"/>
      <c r="AI11"/>
      <c r="AJ11"/>
      <c r="AK11"/>
      <c r="AL11"/>
      <c r="AM11"/>
      <c r="AN11"/>
    </row>
    <row r="12" spans="1:40" ht="18.75" customHeight="1" thickBot="1" x14ac:dyDescent="0.3">
      <c r="A12" s="200" t="s">
        <v>228</v>
      </c>
      <c r="B12" s="194"/>
      <c r="D12" s="187" t="s">
        <v>56</v>
      </c>
      <c r="E12" s="188"/>
      <c r="F12" s="189"/>
      <c r="M12" s="23"/>
      <c r="N12" s="23"/>
      <c r="P12"/>
      <c r="Q12"/>
      <c r="R12"/>
      <c r="S12"/>
      <c r="T12"/>
      <c r="U12"/>
      <c r="V12"/>
      <c r="W12"/>
      <c r="X12"/>
      <c r="Y12"/>
      <c r="Z12"/>
      <c r="AA12"/>
      <c r="AB12"/>
      <c r="AC12"/>
      <c r="AD12"/>
      <c r="AE12"/>
      <c r="AF12"/>
      <c r="AG12"/>
      <c r="AH12"/>
      <c r="AI12"/>
      <c r="AJ12"/>
      <c r="AK12"/>
      <c r="AL12"/>
      <c r="AM12"/>
      <c r="AN12"/>
    </row>
    <row r="13" spans="1:40" ht="18.75" customHeight="1" thickTop="1" x14ac:dyDescent="0.25">
      <c r="A13" s="195" t="s">
        <v>229</v>
      </c>
      <c r="B13" s="196"/>
      <c r="D13" s="185"/>
      <c r="E13" s="186" t="s">
        <v>226</v>
      </c>
      <c r="F13" s="186" t="s">
        <v>227</v>
      </c>
      <c r="M13" s="23"/>
      <c r="N13" s="23"/>
      <c r="P13"/>
      <c r="Q13"/>
      <c r="R13"/>
      <c r="S13"/>
      <c r="T13"/>
      <c r="U13"/>
      <c r="V13"/>
      <c r="W13"/>
      <c r="X13"/>
      <c r="Y13"/>
      <c r="Z13"/>
      <c r="AA13"/>
      <c r="AB13"/>
      <c r="AC13"/>
      <c r="AD13"/>
      <c r="AE13"/>
      <c r="AF13"/>
      <c r="AG13"/>
      <c r="AH13"/>
      <c r="AI13"/>
      <c r="AJ13"/>
      <c r="AK13"/>
      <c r="AL13"/>
      <c r="AM13"/>
      <c r="AN13"/>
    </row>
    <row r="14" spans="1:40" ht="18.75" customHeight="1" x14ac:dyDescent="0.25">
      <c r="A14" s="197" t="s">
        <v>230</v>
      </c>
      <c r="B14" s="196"/>
      <c r="D14" s="184" t="s">
        <v>225</v>
      </c>
      <c r="E14" s="290">
        <v>25</v>
      </c>
      <c r="F14" s="290">
        <v>25</v>
      </c>
      <c r="N14" s="173"/>
      <c r="P14"/>
      <c r="Q14"/>
      <c r="R14"/>
      <c r="S14"/>
      <c r="T14"/>
      <c r="U14"/>
      <c r="V14"/>
      <c r="W14"/>
      <c r="X14"/>
      <c r="Y14"/>
      <c r="Z14"/>
      <c r="AA14"/>
      <c r="AB14"/>
      <c r="AC14"/>
      <c r="AD14"/>
      <c r="AE14"/>
      <c r="AF14"/>
      <c r="AG14"/>
      <c r="AH14"/>
      <c r="AI14"/>
      <c r="AJ14"/>
      <c r="AK14"/>
      <c r="AL14"/>
      <c r="AM14"/>
      <c r="AN14"/>
    </row>
    <row r="15" spans="1:40" ht="18.75" customHeight="1" x14ac:dyDescent="0.25">
      <c r="A15" s="197" t="s">
        <v>231</v>
      </c>
      <c r="B15" s="196"/>
      <c r="D15" s="184" t="s">
        <v>224</v>
      </c>
      <c r="E15" s="291">
        <v>33</v>
      </c>
      <c r="F15" s="291">
        <v>33</v>
      </c>
      <c r="N15" s="173"/>
      <c r="P15"/>
      <c r="Q15"/>
      <c r="R15"/>
      <c r="S15"/>
      <c r="T15"/>
      <c r="U15"/>
      <c r="V15"/>
      <c r="W15"/>
      <c r="X15"/>
      <c r="Y15"/>
      <c r="Z15"/>
      <c r="AA15"/>
      <c r="AB15"/>
      <c r="AC15"/>
      <c r="AD15"/>
      <c r="AE15"/>
      <c r="AF15"/>
      <c r="AG15"/>
      <c r="AH15"/>
      <c r="AI15"/>
      <c r="AJ15"/>
      <c r="AK15"/>
      <c r="AL15"/>
      <c r="AM15"/>
      <c r="AN15"/>
    </row>
    <row r="16" spans="1:40" ht="18.75" customHeight="1" x14ac:dyDescent="0.25">
      <c r="A16" s="199" t="s">
        <v>232</v>
      </c>
      <c r="B16" s="198"/>
      <c r="C16" s="173"/>
      <c r="D16" s="173"/>
      <c r="E16" s="173"/>
      <c r="F16" s="173"/>
      <c r="G16" s="173"/>
      <c r="H16" s="173"/>
      <c r="I16" s="173"/>
      <c r="J16" s="173"/>
      <c r="K16" s="173"/>
      <c r="L16" s="173"/>
      <c r="M16" s="173"/>
      <c r="N16" s="173"/>
      <c r="P16"/>
      <c r="Q16"/>
      <c r="R16"/>
      <c r="S16"/>
      <c r="T16"/>
      <c r="U16"/>
      <c r="V16"/>
      <c r="W16"/>
      <c r="X16"/>
      <c r="Y16"/>
      <c r="Z16"/>
      <c r="AA16"/>
      <c r="AB16"/>
      <c r="AC16"/>
      <c r="AD16"/>
      <c r="AE16"/>
      <c r="AF16"/>
      <c r="AG16"/>
      <c r="AH16"/>
      <c r="AI16"/>
      <c r="AJ16"/>
      <c r="AK16"/>
      <c r="AL16"/>
      <c r="AM16"/>
      <c r="AN16"/>
    </row>
    <row r="17" spans="1:44" ht="15.75" x14ac:dyDescent="0.25">
      <c r="A17" s="18" t="s">
        <v>39</v>
      </c>
      <c r="D17" s="19" t="s">
        <v>34</v>
      </c>
      <c r="J17" s="7"/>
      <c r="P17"/>
      <c r="Q17"/>
      <c r="R17"/>
      <c r="S17"/>
      <c r="T17"/>
      <c r="U17"/>
      <c r="V17"/>
      <c r="W17"/>
      <c r="X17"/>
      <c r="Y17"/>
      <c r="Z17"/>
      <c r="AA17"/>
      <c r="AB17"/>
      <c r="AC17"/>
      <c r="AD17"/>
      <c r="AE17"/>
      <c r="AF17"/>
      <c r="AG17"/>
      <c r="AH17"/>
      <c r="AI17"/>
      <c r="AJ17"/>
      <c r="AK17"/>
      <c r="AL17"/>
      <c r="AM17"/>
      <c r="AN17"/>
    </row>
    <row r="18" spans="1:44" x14ac:dyDescent="0.25">
      <c r="I18" s="190" t="s">
        <v>38</v>
      </c>
      <c r="K18" s="176" t="str">
        <f>F10</f>
        <v>50 kgf</v>
      </c>
      <c r="L18" s="551"/>
      <c r="M18" s="552"/>
      <c r="N18" s="20"/>
      <c r="P18"/>
      <c r="Q18"/>
      <c r="R18"/>
      <c r="S18"/>
      <c r="T18"/>
      <c r="U18"/>
      <c r="V18"/>
      <c r="W18"/>
      <c r="X18"/>
      <c r="Y18"/>
      <c r="Z18"/>
      <c r="AA18"/>
      <c r="AB18"/>
      <c r="AC18"/>
      <c r="AD18"/>
      <c r="AE18"/>
      <c r="AF18"/>
      <c r="AG18"/>
      <c r="AH18"/>
      <c r="AI18"/>
      <c r="AJ18"/>
      <c r="AK18"/>
      <c r="AL18"/>
      <c r="AM18"/>
      <c r="AN18"/>
    </row>
    <row r="19" spans="1:44" x14ac:dyDescent="0.25">
      <c r="A19" s="533" t="s">
        <v>8</v>
      </c>
      <c r="B19" s="3" t="s">
        <v>280</v>
      </c>
      <c r="M19" s="177"/>
      <c r="N19" s="60"/>
      <c r="O19" s="180"/>
      <c r="P19"/>
      <c r="Q19"/>
      <c r="R19"/>
      <c r="S19"/>
      <c r="T19"/>
      <c r="U19"/>
      <c r="V19"/>
      <c r="W19"/>
      <c r="X19"/>
      <c r="Y19"/>
      <c r="Z19"/>
      <c r="AA19"/>
      <c r="AB19"/>
      <c r="AC19"/>
      <c r="AD19"/>
      <c r="AE19"/>
      <c r="AF19"/>
      <c r="AG19"/>
      <c r="AH19"/>
      <c r="AI19"/>
      <c r="AJ19"/>
      <c r="AK19"/>
      <c r="AL19"/>
      <c r="AM19"/>
      <c r="AN19"/>
    </row>
    <row r="20" spans="1:44" ht="15" customHeight="1" x14ac:dyDescent="0.25">
      <c r="A20" s="534"/>
      <c r="B20" s="5" t="s">
        <v>233</v>
      </c>
      <c r="D20" s="24" t="s">
        <v>22</v>
      </c>
      <c r="E20" s="528" t="s">
        <v>35</v>
      </c>
      <c r="F20" s="529"/>
      <c r="G20" s="10"/>
      <c r="H20" s="10"/>
      <c r="I20" s="530" t="s">
        <v>19</v>
      </c>
      <c r="J20" s="530"/>
      <c r="K20" s="531" t="s">
        <v>31</v>
      </c>
      <c r="L20" s="174"/>
      <c r="M20" s="178" t="str">
        <f>"                              : Pre-load from 0 to "&amp;MAX(E23:E32)</f>
        <v xml:space="preserve">                              : Pre-load from 0 to 100</v>
      </c>
      <c r="N20" s="60"/>
      <c r="O20" s="180"/>
      <c r="P20"/>
      <c r="Q20"/>
      <c r="R20"/>
      <c r="S20"/>
      <c r="T20"/>
      <c r="U20"/>
      <c r="V20"/>
      <c r="W20"/>
      <c r="X20"/>
      <c r="Y20"/>
      <c r="Z20"/>
      <c r="AA20"/>
      <c r="AB20"/>
      <c r="AC20"/>
      <c r="AD20"/>
      <c r="AE20"/>
      <c r="AF20"/>
      <c r="AG20"/>
      <c r="AH20"/>
      <c r="AI20"/>
      <c r="AJ20"/>
      <c r="AK20"/>
      <c r="AL20"/>
      <c r="AM20"/>
      <c r="AN20"/>
    </row>
    <row r="21" spans="1:44" x14ac:dyDescent="0.25">
      <c r="A21" s="535"/>
      <c r="B21" s="6" t="s">
        <v>278</v>
      </c>
      <c r="D21" s="25" t="s">
        <v>23</v>
      </c>
      <c r="E21" s="287" t="str">
        <f>L35</f>
        <v>kgf</v>
      </c>
      <c r="F21" s="21" t="s">
        <v>4</v>
      </c>
      <c r="G21" s="10"/>
      <c r="H21" s="10"/>
      <c r="I21" s="11" t="s">
        <v>21</v>
      </c>
      <c r="J21" s="10" t="s">
        <v>20</v>
      </c>
      <c r="K21" s="532"/>
      <c r="L21" s="174"/>
      <c r="M21" s="177"/>
      <c r="N21" s="60"/>
      <c r="O21" s="180"/>
      <c r="P21"/>
      <c r="Q21"/>
      <c r="R21"/>
      <c r="S21"/>
      <c r="T21"/>
      <c r="U21"/>
      <c r="V21"/>
      <c r="W21"/>
      <c r="X21"/>
      <c r="Y21"/>
      <c r="Z21"/>
      <c r="AA21"/>
      <c r="AB21"/>
      <c r="AC21"/>
      <c r="AD21"/>
      <c r="AE21"/>
      <c r="AF21"/>
      <c r="AG21"/>
      <c r="AH21"/>
      <c r="AI21"/>
      <c r="AJ21"/>
      <c r="AK21"/>
      <c r="AL21"/>
      <c r="AM21"/>
      <c r="AN21"/>
    </row>
    <row r="22" spans="1:44" x14ac:dyDescent="0.25">
      <c r="B22" s="9"/>
      <c r="D22" s="11" t="s">
        <v>8</v>
      </c>
      <c r="E22" s="27">
        <v>0</v>
      </c>
      <c r="F22" s="12">
        <f t="shared" ref="F22:F33" si="0">IF(E22="","- -",E22*$K$35)</f>
        <v>0</v>
      </c>
      <c r="G22" s="1" t="str">
        <f>B19</f>
        <v xml:space="preserve">      1.1  1.1-DMP40      0.078086 mV/V  abs     13-Mar-19  13:04:56</v>
      </c>
      <c r="H22" s="1" t="str">
        <f t="shared" ref="H22:H33" si="1">RIGHT(G22, LEN(G22)-24)</f>
        <v xml:space="preserve">  0.078086 mV/V  abs     13-Mar-19  13:04:56</v>
      </c>
      <c r="I22" s="2">
        <f t="shared" ref="I22:I33" si="2">IFERROR(1*LEFT(H22, LEN(H22)-34), "- - ")</f>
        <v>7.8086000000000003E-2</v>
      </c>
      <c r="J22" s="13">
        <f t="shared" ref="J22:J33" si="3">IFERROR(I22-$I$22, "- -")</f>
        <v>0</v>
      </c>
      <c r="K22" s="28">
        <f t="shared" ref="K22:K33" si="4">IFERROR(($J$36*J22+$J$37*J22^2+$J$38*J22^3), "- - ")</f>
        <v>0</v>
      </c>
      <c r="L22" s="175"/>
      <c r="M22" s="177"/>
      <c r="N22" s="60"/>
      <c r="O22" s="180"/>
      <c r="P22"/>
      <c r="Q22"/>
      <c r="R22"/>
      <c r="S22"/>
      <c r="T22"/>
      <c r="U22"/>
      <c r="V22"/>
      <c r="W22"/>
      <c r="X22"/>
      <c r="Y22"/>
      <c r="Z22"/>
      <c r="AA22"/>
      <c r="AB22"/>
      <c r="AC22"/>
      <c r="AD22"/>
      <c r="AE22"/>
      <c r="AF22"/>
      <c r="AG22"/>
      <c r="AH22"/>
      <c r="AI22"/>
      <c r="AJ22"/>
      <c r="AK22"/>
      <c r="AL22"/>
      <c r="AM22"/>
      <c r="AN22"/>
    </row>
    <row r="23" spans="1:44" x14ac:dyDescent="0.25">
      <c r="A23" s="533" t="s">
        <v>9</v>
      </c>
      <c r="B23" s="3" t="s">
        <v>281</v>
      </c>
      <c r="D23" s="11" t="s">
        <v>7</v>
      </c>
      <c r="E23" s="289">
        <v>20</v>
      </c>
      <c r="F23" s="12">
        <f t="shared" si="0"/>
        <v>0.196133</v>
      </c>
      <c r="G23" s="1" t="str">
        <f>B23</f>
        <v xml:space="preserve">      1.1  1.1-DMP40     -0.082988 mV/V  abs     13-Mar-19  13:06:28</v>
      </c>
      <c r="H23" s="1" t="str">
        <f t="shared" si="1"/>
        <v xml:space="preserve"> -0.082988 mV/V  abs     13-Mar-19  13:06:28</v>
      </c>
      <c r="I23" s="2">
        <f t="shared" si="2"/>
        <v>-8.2988000000000006E-2</v>
      </c>
      <c r="J23" s="13">
        <f t="shared" si="3"/>
        <v>-0.16107399999999999</v>
      </c>
      <c r="K23" s="28">
        <f t="shared" si="4"/>
        <v>-0.78971042936167468</v>
      </c>
      <c r="L23" s="175"/>
      <c r="M23" s="177"/>
      <c r="N23" s="60"/>
      <c r="O23" s="180"/>
      <c r="P23"/>
      <c r="Q23"/>
      <c r="R23"/>
      <c r="S23"/>
      <c r="T23"/>
      <c r="U23"/>
      <c r="V23"/>
      <c r="W23"/>
      <c r="X23"/>
      <c r="Y23"/>
      <c r="Z23"/>
      <c r="AA23"/>
      <c r="AB23"/>
      <c r="AC23"/>
      <c r="AD23"/>
      <c r="AE23"/>
      <c r="AF23"/>
      <c r="AG23"/>
      <c r="AH23"/>
      <c r="AI23"/>
      <c r="AJ23"/>
      <c r="AK23"/>
      <c r="AL23"/>
      <c r="AM23"/>
      <c r="AN23"/>
    </row>
    <row r="24" spans="1:44" x14ac:dyDescent="0.25">
      <c r="A24" s="534"/>
      <c r="B24" s="5" t="s">
        <v>233</v>
      </c>
      <c r="D24" s="11" t="s">
        <v>6</v>
      </c>
      <c r="E24" s="289">
        <v>40</v>
      </c>
      <c r="F24" s="12">
        <f t="shared" si="0"/>
        <v>0.392266</v>
      </c>
      <c r="G24" s="1" t="str">
        <f>B27</f>
        <v xml:space="preserve">      1.1  1.1-DMP40     -0.242682 mV/V  abs     13-Mar-19  13:06:55</v>
      </c>
      <c r="H24" s="1" t="str">
        <f t="shared" si="1"/>
        <v xml:space="preserve"> -0.242682 mV/V  abs     13-Mar-19  13:06:55</v>
      </c>
      <c r="I24" s="2">
        <f t="shared" si="2"/>
        <v>-0.24268200000000001</v>
      </c>
      <c r="J24" s="13">
        <f t="shared" si="3"/>
        <v>-0.320768</v>
      </c>
      <c r="K24" s="28">
        <f t="shared" si="4"/>
        <v>-1.5727011308303602</v>
      </c>
      <c r="L24" s="175"/>
      <c r="M24" s="177"/>
      <c r="N24" s="60"/>
      <c r="O24" s="180"/>
      <c r="P24"/>
      <c r="Q24"/>
      <c r="R24"/>
      <c r="S24"/>
      <c r="T24"/>
      <c r="U24"/>
      <c r="V24"/>
      <c r="W24"/>
      <c r="X24"/>
      <c r="Y24"/>
      <c r="Z24"/>
      <c r="AA24"/>
      <c r="AB24"/>
      <c r="AC24"/>
      <c r="AD24"/>
      <c r="AE24"/>
      <c r="AF24"/>
      <c r="AG24"/>
      <c r="AH24"/>
      <c r="AI24"/>
      <c r="AJ24"/>
      <c r="AK24"/>
      <c r="AL24"/>
      <c r="AM24"/>
      <c r="AN24"/>
    </row>
    <row r="25" spans="1:44" ht="15.75" x14ac:dyDescent="0.25">
      <c r="A25" s="535"/>
      <c r="B25" s="6" t="s">
        <v>278</v>
      </c>
      <c r="D25" s="11" t="s">
        <v>5</v>
      </c>
      <c r="E25" s="289">
        <v>60</v>
      </c>
      <c r="F25" s="12">
        <f t="shared" si="0"/>
        <v>0.58839900000000001</v>
      </c>
      <c r="G25" s="1" t="str">
        <f>B31</f>
        <v xml:space="preserve">      1.1  1.1-DMP40     -0.403444 mV/V  abs     13-Mar-19  13:07:17</v>
      </c>
      <c r="H25" s="1" t="str">
        <f t="shared" si="1"/>
        <v xml:space="preserve"> -0.403444 mV/V  abs     13-Mar-19  13:07:17</v>
      </c>
      <c r="I25" s="2">
        <f t="shared" si="2"/>
        <v>-0.40344400000000002</v>
      </c>
      <c r="J25" s="13">
        <f t="shared" si="3"/>
        <v>-0.48153000000000001</v>
      </c>
      <c r="K25" s="28">
        <f t="shared" si="4"/>
        <v>-2.3609731055881547</v>
      </c>
      <c r="L25" s="175"/>
      <c r="M25" s="177"/>
      <c r="N25" s="60"/>
      <c r="O25" s="180"/>
      <c r="P25"/>
      <c r="Q25"/>
      <c r="R25"/>
      <c r="S25"/>
      <c r="T25"/>
      <c r="U25"/>
      <c r="V25"/>
      <c r="W25"/>
      <c r="X25"/>
      <c r="Y25"/>
      <c r="Z25"/>
      <c r="AA25"/>
      <c r="AB25"/>
      <c r="AC25"/>
      <c r="AD25"/>
      <c r="AE25"/>
      <c r="AF25"/>
      <c r="AG25"/>
      <c r="AH25"/>
      <c r="AI25"/>
      <c r="AJ25"/>
      <c r="AK25"/>
      <c r="AL25"/>
      <c r="AM25"/>
      <c r="AN25"/>
      <c r="AQ25" s="542"/>
      <c r="AR25" s="542"/>
    </row>
    <row r="26" spans="1:44" ht="15.75" x14ac:dyDescent="0.25">
      <c r="B26" s="9"/>
      <c r="D26" s="11" t="s">
        <v>24</v>
      </c>
      <c r="E26" s="289">
        <v>80</v>
      </c>
      <c r="F26" s="12">
        <f t="shared" si="0"/>
        <v>0.78453200000000001</v>
      </c>
      <c r="G26" s="1" t="str">
        <f>B35</f>
        <v xml:space="preserve">      1.1  1.1-DMP40     -0.563466 mV/V  abs     13-Mar-19  13:08:12</v>
      </c>
      <c r="H26" s="1" t="str">
        <f t="shared" si="1"/>
        <v xml:space="preserve"> -0.563466 mV/V  abs     13-Mar-19  13:08:12</v>
      </c>
      <c r="I26" s="2">
        <f t="shared" si="2"/>
        <v>-0.56346600000000002</v>
      </c>
      <c r="J26" s="13">
        <f t="shared" si="3"/>
        <v>-0.64155200000000001</v>
      </c>
      <c r="K26" s="28">
        <f t="shared" si="4"/>
        <v>-3.1456596706970226</v>
      </c>
      <c r="L26" s="175"/>
      <c r="M26" s="179"/>
      <c r="N26" s="60"/>
      <c r="O26" s="180"/>
      <c r="P26"/>
      <c r="Q26"/>
      <c r="R26"/>
      <c r="S26"/>
      <c r="T26"/>
      <c r="U26"/>
      <c r="V26"/>
      <c r="W26"/>
      <c r="X26"/>
      <c r="Y26"/>
      <c r="Z26"/>
      <c r="AA26"/>
      <c r="AB26"/>
      <c r="AC26"/>
      <c r="AD26"/>
      <c r="AE26"/>
      <c r="AF26"/>
      <c r="AG26"/>
      <c r="AH26"/>
      <c r="AI26"/>
      <c r="AJ26"/>
      <c r="AK26"/>
      <c r="AL26"/>
      <c r="AM26"/>
      <c r="AN26"/>
      <c r="AQ26" s="26"/>
      <c r="AR26" s="26"/>
    </row>
    <row r="27" spans="1:44" ht="15.75" x14ac:dyDescent="0.25">
      <c r="A27" s="533" t="s">
        <v>10</v>
      </c>
      <c r="B27" s="3" t="s">
        <v>282</v>
      </c>
      <c r="D27" s="11" t="s">
        <v>25</v>
      </c>
      <c r="E27" s="289">
        <v>100</v>
      </c>
      <c r="F27" s="12">
        <f t="shared" si="0"/>
        <v>0.98066500000000001</v>
      </c>
      <c r="G27" s="1" t="str">
        <f>B39</f>
        <v xml:space="preserve">      1.1  1.1-DMP40     -0.723624 mV/V  abs     13-Mar-19  13:09:02</v>
      </c>
      <c r="H27" s="1" t="str">
        <f t="shared" si="1"/>
        <v xml:space="preserve"> -0.723624 mV/V  abs     13-Mar-19  13:09:02</v>
      </c>
      <c r="I27" s="2">
        <f t="shared" si="2"/>
        <v>-0.72362400000000004</v>
      </c>
      <c r="J27" s="13">
        <f t="shared" si="3"/>
        <v>-0.80171000000000003</v>
      </c>
      <c r="K27" s="28">
        <f t="shared" si="4"/>
        <v>-3.93105458342828</v>
      </c>
      <c r="L27" s="175"/>
      <c r="M27" s="179" t="str">
        <f>"                           : Increase load  0 to "&amp;MAX(E28:E37)</f>
        <v xml:space="preserve">                           : Increase load  0 to 0</v>
      </c>
      <c r="N27" s="60"/>
      <c r="O27" s="180"/>
      <c r="P27"/>
      <c r="Q27"/>
      <c r="R27"/>
      <c r="S27"/>
      <c r="T27"/>
      <c r="U27"/>
      <c r="V27"/>
      <c r="W27"/>
      <c r="X27"/>
      <c r="Y27"/>
      <c r="Z27"/>
      <c r="AA27"/>
      <c r="AB27"/>
      <c r="AC27"/>
      <c r="AD27"/>
      <c r="AE27"/>
      <c r="AF27"/>
      <c r="AG27"/>
      <c r="AH27"/>
      <c r="AI27"/>
      <c r="AJ27"/>
      <c r="AK27"/>
      <c r="AL27"/>
      <c r="AM27"/>
      <c r="AN27"/>
      <c r="AQ27" s="26"/>
      <c r="AR27" s="26"/>
    </row>
    <row r="28" spans="1:44" ht="15.75" x14ac:dyDescent="0.25">
      <c r="A28" s="534"/>
      <c r="B28" s="5" t="s">
        <v>233</v>
      </c>
      <c r="D28" s="11" t="s">
        <v>26</v>
      </c>
      <c r="E28" s="289"/>
      <c r="F28" s="12" t="str">
        <f t="shared" si="0"/>
        <v>- -</v>
      </c>
      <c r="G28" s="1">
        <f>B43</f>
        <v>0</v>
      </c>
      <c r="H28" s="1" t="e">
        <f t="shared" si="1"/>
        <v>#VALUE!</v>
      </c>
      <c r="I28" s="2" t="str">
        <f t="shared" si="2"/>
        <v xml:space="preserve">- - </v>
      </c>
      <c r="J28" s="13" t="str">
        <f t="shared" si="3"/>
        <v>- -</v>
      </c>
      <c r="K28" s="28" t="str">
        <f t="shared" si="4"/>
        <v xml:space="preserve">- - </v>
      </c>
      <c r="L28" s="175"/>
      <c r="M28" s="177"/>
      <c r="N28" s="60"/>
      <c r="O28" s="180"/>
      <c r="P28"/>
      <c r="Q28"/>
      <c r="R28"/>
      <c r="S28"/>
      <c r="T28"/>
      <c r="U28"/>
      <c r="V28"/>
      <c r="W28"/>
      <c r="X28"/>
      <c r="Y28"/>
      <c r="Z28"/>
      <c r="AA28"/>
      <c r="AB28"/>
      <c r="AC28"/>
      <c r="AD28"/>
      <c r="AE28"/>
      <c r="AF28"/>
      <c r="AG28"/>
      <c r="AH28"/>
      <c r="AI28"/>
      <c r="AJ28"/>
      <c r="AK28"/>
      <c r="AL28"/>
      <c r="AM28"/>
      <c r="AN28"/>
      <c r="AQ28" s="26"/>
      <c r="AR28" s="26"/>
    </row>
    <row r="29" spans="1:44" x14ac:dyDescent="0.25">
      <c r="A29" s="535"/>
      <c r="B29" s="6" t="s">
        <v>278</v>
      </c>
      <c r="D29" s="11" t="s">
        <v>27</v>
      </c>
      <c r="E29" s="289"/>
      <c r="F29" s="12" t="str">
        <f t="shared" si="0"/>
        <v>- -</v>
      </c>
      <c r="G29" s="1">
        <f>B47</f>
        <v>0</v>
      </c>
      <c r="H29" s="1" t="e">
        <f t="shared" si="1"/>
        <v>#VALUE!</v>
      </c>
      <c r="I29" s="2" t="str">
        <f t="shared" si="2"/>
        <v xml:space="preserve">- - </v>
      </c>
      <c r="J29" s="13" t="str">
        <f t="shared" si="3"/>
        <v>- -</v>
      </c>
      <c r="K29" s="28" t="str">
        <f t="shared" si="4"/>
        <v xml:space="preserve">- - </v>
      </c>
      <c r="L29" s="175"/>
      <c r="M29" s="177"/>
      <c r="N29" s="60"/>
      <c r="O29" s="180"/>
      <c r="P29"/>
      <c r="Q29"/>
      <c r="R29"/>
      <c r="S29"/>
      <c r="T29"/>
      <c r="U29"/>
      <c r="V29"/>
      <c r="W29"/>
      <c r="X29"/>
      <c r="Y29"/>
      <c r="Z29"/>
      <c r="AA29"/>
      <c r="AB29"/>
      <c r="AC29"/>
      <c r="AD29"/>
      <c r="AE29"/>
      <c r="AF29"/>
      <c r="AG29"/>
      <c r="AH29"/>
      <c r="AI29"/>
      <c r="AJ29"/>
      <c r="AK29"/>
      <c r="AL29"/>
      <c r="AM29"/>
      <c r="AN29"/>
    </row>
    <row r="30" spans="1:44" x14ac:dyDescent="0.25">
      <c r="B30" s="9"/>
      <c r="D30" s="11" t="s">
        <v>28</v>
      </c>
      <c r="E30" s="289"/>
      <c r="F30" s="12" t="str">
        <f t="shared" si="0"/>
        <v>- -</v>
      </c>
      <c r="G30" s="1">
        <f>B51</f>
        <v>0</v>
      </c>
      <c r="H30" s="1" t="e">
        <f t="shared" si="1"/>
        <v>#VALUE!</v>
      </c>
      <c r="I30" s="2" t="str">
        <f t="shared" si="2"/>
        <v xml:space="preserve">- - </v>
      </c>
      <c r="J30" s="13" t="str">
        <f t="shared" si="3"/>
        <v>- -</v>
      </c>
      <c r="K30" s="28" t="str">
        <f t="shared" si="4"/>
        <v xml:space="preserve">- - </v>
      </c>
      <c r="L30" s="175"/>
      <c r="M30" s="177"/>
      <c r="N30" s="60"/>
      <c r="O30" s="180"/>
      <c r="P30"/>
      <c r="Q30"/>
      <c r="R30"/>
      <c r="S30"/>
      <c r="T30"/>
      <c r="U30"/>
      <c r="V30"/>
      <c r="W30"/>
      <c r="X30"/>
      <c r="Y30"/>
      <c r="Z30"/>
      <c r="AA30"/>
      <c r="AB30"/>
      <c r="AC30"/>
      <c r="AD30"/>
      <c r="AE30"/>
      <c r="AF30"/>
      <c r="AG30"/>
      <c r="AH30"/>
      <c r="AI30"/>
      <c r="AJ30"/>
      <c r="AK30"/>
      <c r="AL30"/>
      <c r="AM30"/>
      <c r="AN30"/>
    </row>
    <row r="31" spans="1:44" x14ac:dyDescent="0.25">
      <c r="A31" s="533" t="s">
        <v>11</v>
      </c>
      <c r="B31" s="3" t="s">
        <v>283</v>
      </c>
      <c r="D31" s="11" t="s">
        <v>29</v>
      </c>
      <c r="E31" s="289"/>
      <c r="F31" s="12" t="str">
        <f t="shared" si="0"/>
        <v>- -</v>
      </c>
      <c r="G31" s="1">
        <f>B55</f>
        <v>0</v>
      </c>
      <c r="H31" s="1" t="e">
        <f t="shared" si="1"/>
        <v>#VALUE!</v>
      </c>
      <c r="I31" s="2" t="str">
        <f t="shared" si="2"/>
        <v xml:space="preserve">- - </v>
      </c>
      <c r="J31" s="13" t="str">
        <f t="shared" si="3"/>
        <v>- -</v>
      </c>
      <c r="K31" s="28" t="str">
        <f t="shared" si="4"/>
        <v xml:space="preserve">- - </v>
      </c>
      <c r="L31" s="175"/>
      <c r="M31" s="177"/>
      <c r="N31" s="60"/>
      <c r="O31" s="180"/>
      <c r="P31"/>
      <c r="Q31"/>
      <c r="R31"/>
      <c r="S31"/>
      <c r="T31"/>
      <c r="U31"/>
      <c r="V31"/>
      <c r="W31"/>
      <c r="X31"/>
      <c r="Y31"/>
      <c r="Z31"/>
      <c r="AA31"/>
      <c r="AB31"/>
      <c r="AC31"/>
      <c r="AD31"/>
      <c r="AE31"/>
      <c r="AF31"/>
      <c r="AG31"/>
      <c r="AH31"/>
      <c r="AI31"/>
      <c r="AJ31"/>
      <c r="AK31"/>
      <c r="AL31"/>
      <c r="AM31"/>
      <c r="AN31"/>
    </row>
    <row r="32" spans="1:44" x14ac:dyDescent="0.25">
      <c r="A32" s="534"/>
      <c r="B32" s="5" t="s">
        <v>233</v>
      </c>
      <c r="D32" s="11" t="s">
        <v>30</v>
      </c>
      <c r="E32" s="289"/>
      <c r="F32" s="12" t="str">
        <f t="shared" si="0"/>
        <v>- -</v>
      </c>
      <c r="G32" s="1">
        <f>B59</f>
        <v>0</v>
      </c>
      <c r="H32" s="1" t="e">
        <f t="shared" si="1"/>
        <v>#VALUE!</v>
      </c>
      <c r="I32" s="2" t="str">
        <f t="shared" si="2"/>
        <v xml:space="preserve">- - </v>
      </c>
      <c r="J32" s="13" t="str">
        <f t="shared" si="3"/>
        <v>- -</v>
      </c>
      <c r="K32" s="28" t="str">
        <f t="shared" si="4"/>
        <v xml:space="preserve">- - </v>
      </c>
      <c r="L32" s="175"/>
      <c r="M32" s="177"/>
      <c r="N32" s="60"/>
      <c r="O32" s="180"/>
      <c r="P32"/>
      <c r="Q32"/>
      <c r="R32"/>
      <c r="S32"/>
      <c r="T32"/>
      <c r="U32"/>
      <c r="V32"/>
      <c r="W32"/>
      <c r="X32"/>
      <c r="Y32"/>
      <c r="Z32"/>
      <c r="AA32"/>
      <c r="AB32"/>
      <c r="AC32"/>
      <c r="AD32"/>
      <c r="AE32"/>
      <c r="AF32"/>
      <c r="AG32"/>
      <c r="AH32"/>
      <c r="AI32"/>
      <c r="AJ32"/>
      <c r="AK32"/>
      <c r="AL32"/>
      <c r="AM32"/>
      <c r="AN32"/>
    </row>
    <row r="33" spans="1:40" x14ac:dyDescent="0.25">
      <c r="A33" s="535"/>
      <c r="B33" s="6" t="s">
        <v>278</v>
      </c>
      <c r="D33" s="11" t="s">
        <v>8</v>
      </c>
      <c r="E33" s="27">
        <v>0</v>
      </c>
      <c r="F33" s="12">
        <f t="shared" si="0"/>
        <v>0</v>
      </c>
      <c r="G33" s="1" t="str">
        <f>B63</f>
        <v xml:space="preserve">      1.1  1.1-DMP40      0.077444 mV/V  abs     13-Mar-19  13:10:36</v>
      </c>
      <c r="H33" s="1" t="str">
        <f t="shared" si="1"/>
        <v xml:space="preserve">  0.077444 mV/V  abs     13-Mar-19  13:10:36</v>
      </c>
      <c r="I33" s="2">
        <f t="shared" si="2"/>
        <v>7.7443999999999999E-2</v>
      </c>
      <c r="J33" s="13">
        <f t="shared" si="3"/>
        <v>-6.4200000000000368E-4</v>
      </c>
      <c r="K33" s="28">
        <f t="shared" si="4"/>
        <v>-3.1474901276051744E-3</v>
      </c>
      <c r="L33" s="175"/>
      <c r="M33" s="177"/>
      <c r="N33" s="60"/>
      <c r="O33" s="180"/>
      <c r="P33"/>
      <c r="Q33"/>
      <c r="R33"/>
      <c r="S33"/>
      <c r="T33"/>
      <c r="U33"/>
      <c r="V33"/>
      <c r="W33"/>
      <c r="X33"/>
      <c r="Y33"/>
      <c r="Z33"/>
      <c r="AA33"/>
      <c r="AB33"/>
      <c r="AC33"/>
      <c r="AD33"/>
      <c r="AE33"/>
      <c r="AF33"/>
      <c r="AG33"/>
      <c r="AH33"/>
      <c r="AI33"/>
      <c r="AJ33"/>
      <c r="AK33"/>
      <c r="AL33"/>
      <c r="AM33"/>
      <c r="AN33"/>
    </row>
    <row r="34" spans="1:40" ht="15" customHeight="1" x14ac:dyDescent="0.25">
      <c r="B34" s="9"/>
      <c r="D34" s="543" t="s">
        <v>120</v>
      </c>
      <c r="E34" s="543"/>
      <c r="F34" s="543"/>
      <c r="G34" s="65"/>
      <c r="H34" s="65"/>
      <c r="I34" s="65"/>
      <c r="J34" s="65"/>
      <c r="P34"/>
      <c r="Q34"/>
      <c r="R34"/>
      <c r="S34"/>
      <c r="T34"/>
      <c r="U34"/>
      <c r="V34"/>
      <c r="W34"/>
      <c r="X34"/>
      <c r="Y34"/>
      <c r="Z34"/>
      <c r="AA34"/>
      <c r="AB34"/>
      <c r="AC34"/>
      <c r="AD34"/>
      <c r="AE34"/>
      <c r="AF34"/>
      <c r="AG34"/>
      <c r="AH34"/>
      <c r="AI34"/>
      <c r="AJ34"/>
      <c r="AK34"/>
      <c r="AL34"/>
      <c r="AM34"/>
      <c r="AN34"/>
    </row>
    <row r="35" spans="1:40" ht="15" customHeight="1" x14ac:dyDescent="0.25">
      <c r="A35" s="533" t="s">
        <v>12</v>
      </c>
      <c r="B35" s="3" t="s">
        <v>284</v>
      </c>
      <c r="D35" s="544"/>
      <c r="E35" s="544"/>
      <c r="F35" s="544"/>
      <c r="G35" s="19"/>
      <c r="H35" s="19"/>
      <c r="I35" s="19"/>
      <c r="J35" s="19"/>
      <c r="K35" s="288">
        <v>9.8066500000000001E-3</v>
      </c>
      <c r="L35" s="288" t="s">
        <v>3</v>
      </c>
      <c r="M35" s="288"/>
      <c r="N35" s="14"/>
      <c r="P35"/>
      <c r="Q35"/>
      <c r="R35"/>
      <c r="S35"/>
      <c r="T35"/>
      <c r="U35"/>
      <c r="V35"/>
      <c r="W35"/>
      <c r="X35"/>
      <c r="Y35"/>
      <c r="Z35"/>
      <c r="AA35"/>
      <c r="AB35"/>
      <c r="AC35"/>
      <c r="AD35"/>
      <c r="AE35"/>
      <c r="AF35"/>
      <c r="AG35"/>
      <c r="AH35"/>
      <c r="AI35"/>
      <c r="AJ35"/>
      <c r="AK35"/>
      <c r="AL35"/>
      <c r="AM35"/>
      <c r="AN35"/>
    </row>
    <row r="36" spans="1:40" ht="15" customHeight="1" x14ac:dyDescent="0.25">
      <c r="A36" s="534"/>
      <c r="B36" s="5" t="s">
        <v>233</v>
      </c>
      <c r="D36" s="61" t="s">
        <v>47</v>
      </c>
      <c r="E36" s="545" t="s">
        <v>64</v>
      </c>
      <c r="F36" s="546"/>
      <c r="H36" s="4">
        <f>IF($F$6="Compression",6,10)</f>
        <v>6</v>
      </c>
      <c r="I36" s="62" t="s">
        <v>0</v>
      </c>
      <c r="J36" s="63">
        <f>VLOOKUP($E$36,Table1[],H36,FALSE)</f>
        <v>4.9026319999999997</v>
      </c>
      <c r="P36"/>
      <c r="Q36"/>
      <c r="R36"/>
      <c r="S36"/>
      <c r="T36"/>
      <c r="U36"/>
      <c r="V36"/>
      <c r="W36"/>
      <c r="X36"/>
      <c r="Y36"/>
      <c r="Z36"/>
      <c r="AA36"/>
      <c r="AB36"/>
      <c r="AC36"/>
      <c r="AD36"/>
      <c r="AE36"/>
      <c r="AF36"/>
      <c r="AG36"/>
      <c r="AH36"/>
      <c r="AI36"/>
      <c r="AJ36"/>
      <c r="AK36"/>
      <c r="AL36"/>
      <c r="AM36"/>
      <c r="AN36"/>
    </row>
    <row r="37" spans="1:40" x14ac:dyDescent="0.25">
      <c r="A37" s="535"/>
      <c r="B37" s="6" t="s">
        <v>278</v>
      </c>
      <c r="D37" s="61" t="s">
        <v>49</v>
      </c>
      <c r="E37" s="539" t="str">
        <f>VLOOKUP($E$36,Table1[],2,FALSE)</f>
        <v>10 kN</v>
      </c>
      <c r="F37" s="540"/>
      <c r="H37" s="4">
        <f>IF($F$6="Compression",7,11)</f>
        <v>7</v>
      </c>
      <c r="I37" s="62" t="s">
        <v>1</v>
      </c>
      <c r="J37" s="63">
        <f>VLOOKUP($E$36,Table1[],H37,FALSE)</f>
        <v>-9.3075079999999999E-4</v>
      </c>
      <c r="K37" s="22"/>
      <c r="P37"/>
      <c r="Q37"/>
      <c r="R37"/>
      <c r="S37"/>
      <c r="T37"/>
      <c r="U37"/>
      <c r="V37"/>
      <c r="W37"/>
      <c r="X37"/>
      <c r="Y37"/>
      <c r="Z37"/>
      <c r="AA37"/>
      <c r="AB37"/>
      <c r="AC37"/>
      <c r="AD37"/>
      <c r="AE37"/>
      <c r="AF37"/>
      <c r="AG37"/>
      <c r="AH37"/>
      <c r="AI37"/>
      <c r="AJ37"/>
      <c r="AK37"/>
      <c r="AL37"/>
      <c r="AM37"/>
      <c r="AN37"/>
    </row>
    <row r="38" spans="1:40" x14ac:dyDescent="0.25">
      <c r="B38" s="9"/>
      <c r="D38" s="183" t="s">
        <v>119</v>
      </c>
      <c r="E38" s="539" t="str">
        <f>VLOOKUP($E$36,Table1[],3,FALSE)</f>
        <v>F93007</v>
      </c>
      <c r="F38" s="540"/>
      <c r="H38" s="4">
        <f>IF($F$6="Compression",8,12)</f>
        <v>8</v>
      </c>
      <c r="I38" s="62" t="s">
        <v>2</v>
      </c>
      <c r="J38" s="63">
        <f>VLOOKUP($E$36,Table1[],H38,FALSE)</f>
        <v>-6.3550709999999995E-5</v>
      </c>
      <c r="P38"/>
      <c r="Q38"/>
      <c r="R38"/>
      <c r="S38"/>
      <c r="T38"/>
      <c r="U38"/>
      <c r="V38"/>
      <c r="W38"/>
      <c r="X38"/>
      <c r="Y38"/>
      <c r="Z38"/>
      <c r="AA38"/>
      <c r="AB38"/>
      <c r="AC38"/>
      <c r="AD38"/>
      <c r="AE38"/>
      <c r="AF38"/>
      <c r="AG38"/>
      <c r="AH38"/>
      <c r="AI38"/>
      <c r="AJ38"/>
      <c r="AK38"/>
      <c r="AL38"/>
      <c r="AM38"/>
      <c r="AN38"/>
    </row>
    <row r="39" spans="1:40" x14ac:dyDescent="0.25">
      <c r="A39" s="533" t="s">
        <v>13</v>
      </c>
      <c r="B39" s="3" t="s">
        <v>285</v>
      </c>
      <c r="D39" s="61" t="s">
        <v>52</v>
      </c>
      <c r="E39" s="541" t="str">
        <f>VLOOKUP($E$36,Table1[],4,FALSE)</f>
        <v>1800-00040-004</v>
      </c>
      <c r="F39" s="540"/>
      <c r="G39" s="15"/>
      <c r="H39" s="4">
        <f>IF($F$6="Compression",9,13)</f>
        <v>9</v>
      </c>
      <c r="I39" s="62" t="s">
        <v>36</v>
      </c>
      <c r="J39" s="63">
        <f>VLOOKUP($E$36,Table1[],H39,FALSE)</f>
        <v>1.0999999999999999E-2</v>
      </c>
      <c r="K39"/>
      <c r="L39" s="15"/>
      <c r="P39"/>
      <c r="Q39"/>
      <c r="R39"/>
      <c r="S39"/>
      <c r="T39"/>
      <c r="U39"/>
      <c r="V39"/>
      <c r="W39"/>
      <c r="X39"/>
      <c r="Y39"/>
      <c r="Z39"/>
      <c r="AA39"/>
      <c r="AB39"/>
      <c r="AC39"/>
      <c r="AD39"/>
      <c r="AE39"/>
      <c r="AF39"/>
      <c r="AG39"/>
      <c r="AH39"/>
      <c r="AI39"/>
      <c r="AJ39"/>
      <c r="AK39"/>
      <c r="AL39"/>
      <c r="AM39"/>
      <c r="AN39"/>
    </row>
    <row r="40" spans="1:40" x14ac:dyDescent="0.25">
      <c r="A40" s="534"/>
      <c r="B40" s="5" t="s">
        <v>233</v>
      </c>
      <c r="D40" s="183" t="s">
        <v>48</v>
      </c>
      <c r="E40" s="537">
        <f>VLOOKUP($E$36,Table1[],5,FALSE)</f>
        <v>43161</v>
      </c>
      <c r="F40" s="538"/>
      <c r="G40" s="66">
        <f>VLOOKUP($E$36,Table1[],14,FALSE)</f>
        <v>44257</v>
      </c>
      <c r="H40" s="4">
        <f>IF($F$6="Compression",10,14)</f>
        <v>10</v>
      </c>
      <c r="I40" s="62" t="s">
        <v>33</v>
      </c>
      <c r="J40" s="64">
        <v>2</v>
      </c>
      <c r="K40"/>
      <c r="P40"/>
      <c r="Q40"/>
      <c r="R40"/>
      <c r="S40"/>
      <c r="T40"/>
      <c r="U40"/>
      <c r="V40"/>
      <c r="W40"/>
      <c r="X40"/>
      <c r="Y40"/>
      <c r="Z40"/>
      <c r="AA40"/>
      <c r="AB40"/>
      <c r="AC40"/>
      <c r="AD40"/>
      <c r="AE40"/>
      <c r="AF40"/>
      <c r="AG40"/>
      <c r="AH40"/>
      <c r="AI40"/>
      <c r="AJ40"/>
      <c r="AK40"/>
      <c r="AL40"/>
      <c r="AM40"/>
      <c r="AN40"/>
    </row>
    <row r="41" spans="1:40" x14ac:dyDescent="0.25">
      <c r="A41" s="535"/>
      <c r="B41" s="6" t="s">
        <v>278</v>
      </c>
      <c r="C41" s="16"/>
      <c r="D41"/>
      <c r="E41"/>
      <c r="F41"/>
      <c r="G41"/>
      <c r="H41"/>
      <c r="I41"/>
      <c r="J41"/>
      <c r="K41"/>
      <c r="P41"/>
      <c r="Q41"/>
      <c r="R41"/>
      <c r="S41"/>
      <c r="T41"/>
      <c r="U41"/>
      <c r="V41"/>
      <c r="W41"/>
      <c r="X41"/>
      <c r="Y41"/>
      <c r="Z41"/>
      <c r="AA41"/>
      <c r="AB41"/>
      <c r="AC41"/>
      <c r="AD41"/>
      <c r="AE41"/>
      <c r="AF41"/>
      <c r="AG41"/>
      <c r="AH41"/>
      <c r="AI41"/>
      <c r="AJ41"/>
      <c r="AK41"/>
      <c r="AL41"/>
      <c r="AM41"/>
      <c r="AN41"/>
    </row>
    <row r="42" spans="1:40" ht="15" customHeight="1" x14ac:dyDescent="0.25">
      <c r="B42" s="9"/>
      <c r="D42"/>
      <c r="E42"/>
      <c r="F42"/>
      <c r="G42"/>
      <c r="H42"/>
      <c r="I42"/>
      <c r="J42"/>
      <c r="K42"/>
      <c r="L42"/>
      <c r="M42"/>
      <c r="P42"/>
      <c r="Q42"/>
      <c r="R42"/>
      <c r="S42"/>
      <c r="T42"/>
      <c r="U42"/>
      <c r="V42"/>
      <c r="W42"/>
      <c r="X42"/>
      <c r="Y42"/>
      <c r="Z42"/>
      <c r="AA42"/>
      <c r="AB42"/>
      <c r="AC42"/>
      <c r="AD42"/>
      <c r="AE42"/>
      <c r="AF42"/>
      <c r="AG42"/>
      <c r="AH42"/>
      <c r="AI42"/>
      <c r="AJ42"/>
      <c r="AK42"/>
      <c r="AL42"/>
      <c r="AM42"/>
      <c r="AN42"/>
    </row>
    <row r="43" spans="1:40" ht="15" customHeight="1" x14ac:dyDescent="0.25">
      <c r="A43" s="533" t="s">
        <v>14</v>
      </c>
      <c r="B43" s="3"/>
      <c r="D43" s="24" t="s">
        <v>22</v>
      </c>
      <c r="E43" s="528" t="s">
        <v>35</v>
      </c>
      <c r="F43" s="529"/>
      <c r="G43" s="10"/>
      <c r="H43" s="10"/>
      <c r="I43" s="530" t="s">
        <v>19</v>
      </c>
      <c r="J43" s="530"/>
      <c r="K43" s="531" t="s">
        <v>31</v>
      </c>
      <c r="L43"/>
      <c r="M43"/>
      <c r="P43"/>
      <c r="Q43"/>
      <c r="R43"/>
      <c r="S43"/>
      <c r="T43"/>
      <c r="U43"/>
      <c r="V43"/>
      <c r="W43"/>
      <c r="X43"/>
      <c r="Y43"/>
      <c r="Z43"/>
      <c r="AA43"/>
      <c r="AB43"/>
      <c r="AC43"/>
      <c r="AD43"/>
      <c r="AE43"/>
      <c r="AF43"/>
      <c r="AG43"/>
      <c r="AH43"/>
      <c r="AI43"/>
      <c r="AJ43"/>
      <c r="AK43"/>
      <c r="AL43"/>
      <c r="AM43"/>
      <c r="AN43"/>
    </row>
    <row r="44" spans="1:40" x14ac:dyDescent="0.25">
      <c r="A44" s="534"/>
      <c r="B44" s="5"/>
      <c r="C44" s="17"/>
      <c r="D44" s="25" t="s">
        <v>23</v>
      </c>
      <c r="E44" s="287" t="s">
        <v>3</v>
      </c>
      <c r="F44" s="21" t="s">
        <v>4</v>
      </c>
      <c r="G44" s="10"/>
      <c r="H44" s="10"/>
      <c r="I44" s="11" t="s">
        <v>21</v>
      </c>
      <c r="J44" s="10" t="s">
        <v>20</v>
      </c>
      <c r="K44" s="532"/>
      <c r="L44"/>
      <c r="M44"/>
      <c r="P44"/>
      <c r="Q44"/>
      <c r="R44"/>
      <c r="S44"/>
      <c r="T44"/>
      <c r="U44"/>
      <c r="V44"/>
      <c r="W44"/>
      <c r="X44"/>
      <c r="Y44"/>
      <c r="Z44"/>
      <c r="AA44"/>
      <c r="AB44"/>
      <c r="AC44"/>
      <c r="AD44"/>
      <c r="AE44"/>
      <c r="AF44"/>
      <c r="AG44"/>
      <c r="AH44"/>
      <c r="AI44"/>
      <c r="AJ44"/>
      <c r="AK44"/>
      <c r="AL44"/>
      <c r="AM44"/>
      <c r="AN44"/>
    </row>
    <row r="45" spans="1:40" x14ac:dyDescent="0.25">
      <c r="A45" s="535"/>
      <c r="B45" s="6"/>
      <c r="C45" s="17"/>
      <c r="D45" s="11" t="s">
        <v>8</v>
      </c>
      <c r="E45" s="418">
        <v>0</v>
      </c>
      <c r="F45" s="12">
        <v>0</v>
      </c>
      <c r="G45" s="1" t="s">
        <v>280</v>
      </c>
      <c r="H45" s="1" t="s">
        <v>344</v>
      </c>
      <c r="I45" s="2">
        <v>7.8086000000000003E-2</v>
      </c>
      <c r="J45" s="13">
        <v>0</v>
      </c>
      <c r="K45" s="28">
        <v>0</v>
      </c>
      <c r="L45"/>
      <c r="M45"/>
      <c r="P45"/>
      <c r="Q45"/>
      <c r="R45"/>
      <c r="S45"/>
      <c r="T45"/>
      <c r="U45"/>
      <c r="V45"/>
      <c r="W45"/>
      <c r="X45"/>
      <c r="Y45"/>
      <c r="Z45"/>
      <c r="AA45"/>
      <c r="AB45"/>
      <c r="AC45"/>
      <c r="AD45"/>
      <c r="AE45"/>
      <c r="AF45"/>
      <c r="AG45"/>
      <c r="AH45"/>
      <c r="AI45"/>
      <c r="AJ45"/>
      <c r="AK45"/>
      <c r="AL45"/>
      <c r="AM45"/>
      <c r="AN45"/>
    </row>
    <row r="46" spans="1:40" x14ac:dyDescent="0.25">
      <c r="B46" s="9"/>
      <c r="C46" s="17"/>
      <c r="D46" s="11" t="s">
        <v>7</v>
      </c>
      <c r="E46" s="419">
        <v>20</v>
      </c>
      <c r="F46" s="12">
        <v>0.196133</v>
      </c>
      <c r="G46" s="1" t="s">
        <v>281</v>
      </c>
      <c r="H46" s="1" t="s">
        <v>347</v>
      </c>
      <c r="I46" s="2">
        <v>-8.2988000000000006E-2</v>
      </c>
      <c r="J46" s="13">
        <v>-0.16107399999999999</v>
      </c>
      <c r="K46" s="28">
        <v>-0.78971042936167468</v>
      </c>
      <c r="L46"/>
      <c r="M46"/>
      <c r="P46"/>
      <c r="Q46"/>
      <c r="R46"/>
      <c r="S46"/>
      <c r="T46"/>
      <c r="U46"/>
      <c r="V46"/>
      <c r="W46"/>
      <c r="X46"/>
      <c r="Y46"/>
      <c r="Z46"/>
      <c r="AA46"/>
      <c r="AB46"/>
      <c r="AC46"/>
      <c r="AD46"/>
      <c r="AE46"/>
      <c r="AF46"/>
      <c r="AG46"/>
      <c r="AH46"/>
      <c r="AI46"/>
      <c r="AJ46"/>
      <c r="AK46"/>
      <c r="AL46"/>
      <c r="AM46"/>
      <c r="AN46"/>
    </row>
    <row r="47" spans="1:40" x14ac:dyDescent="0.25">
      <c r="A47" s="533" t="s">
        <v>15</v>
      </c>
      <c r="B47" s="3"/>
      <c r="C47" s="17"/>
      <c r="D47" s="11" t="s">
        <v>8</v>
      </c>
      <c r="E47" s="418">
        <v>0</v>
      </c>
      <c r="F47" s="12">
        <v>0</v>
      </c>
      <c r="G47" s="1" t="s">
        <v>286</v>
      </c>
      <c r="H47" s="1" t="s">
        <v>348</v>
      </c>
      <c r="I47" s="2">
        <v>7.7443999999999999E-2</v>
      </c>
      <c r="J47" s="13">
        <v>-6.4200000000000368E-4</v>
      </c>
      <c r="K47" s="28">
        <v>-3.1474901276051744E-3</v>
      </c>
      <c r="L47"/>
      <c r="M47"/>
      <c r="P47"/>
      <c r="Q47"/>
      <c r="R47"/>
      <c r="S47"/>
      <c r="T47"/>
      <c r="U47"/>
      <c r="V47"/>
      <c r="W47"/>
      <c r="X47"/>
      <c r="Y47"/>
      <c r="Z47"/>
      <c r="AA47"/>
      <c r="AB47"/>
      <c r="AC47"/>
      <c r="AD47"/>
      <c r="AE47"/>
      <c r="AF47"/>
      <c r="AG47"/>
      <c r="AH47"/>
      <c r="AI47"/>
      <c r="AJ47"/>
      <c r="AK47"/>
      <c r="AL47"/>
      <c r="AM47"/>
      <c r="AN47"/>
    </row>
    <row r="48" spans="1:40" x14ac:dyDescent="0.25">
      <c r="A48" s="534"/>
      <c r="B48" s="5"/>
      <c r="C48" s="17"/>
      <c r="D48"/>
      <c r="E48"/>
      <c r="F48"/>
      <c r="G48"/>
      <c r="H48"/>
      <c r="I48"/>
      <c r="J48"/>
      <c r="K48"/>
      <c r="L48"/>
      <c r="M48"/>
      <c r="P48"/>
      <c r="Q48"/>
      <c r="R48"/>
      <c r="S48"/>
      <c r="T48"/>
      <c r="U48"/>
      <c r="V48"/>
      <c r="W48"/>
      <c r="X48"/>
      <c r="Y48"/>
      <c r="Z48"/>
      <c r="AA48"/>
      <c r="AB48"/>
      <c r="AC48"/>
      <c r="AD48"/>
      <c r="AE48"/>
      <c r="AF48"/>
      <c r="AG48"/>
      <c r="AH48"/>
      <c r="AI48"/>
      <c r="AJ48"/>
      <c r="AK48"/>
      <c r="AL48"/>
      <c r="AM48"/>
      <c r="AN48"/>
    </row>
    <row r="49" spans="1:40" x14ac:dyDescent="0.25">
      <c r="A49" s="535"/>
      <c r="B49" s="6"/>
      <c r="C49" s="17"/>
      <c r="D49" s="4" t="s">
        <v>349</v>
      </c>
      <c r="E49"/>
      <c r="F49"/>
      <c r="G49"/>
      <c r="H49"/>
      <c r="I49"/>
      <c r="J49"/>
      <c r="K49"/>
      <c r="L49"/>
      <c r="M49"/>
      <c r="P49"/>
      <c r="Q49"/>
      <c r="R49"/>
      <c r="S49"/>
      <c r="T49"/>
      <c r="U49"/>
      <c r="V49"/>
      <c r="W49"/>
      <c r="X49"/>
      <c r="Y49"/>
      <c r="Z49"/>
      <c r="AA49"/>
      <c r="AB49"/>
      <c r="AC49"/>
      <c r="AD49"/>
      <c r="AE49"/>
      <c r="AF49"/>
      <c r="AG49"/>
      <c r="AH49"/>
      <c r="AI49"/>
      <c r="AJ49"/>
      <c r="AK49"/>
      <c r="AL49"/>
      <c r="AM49"/>
      <c r="AN49"/>
    </row>
    <row r="50" spans="1:40" ht="15" customHeight="1" x14ac:dyDescent="0.25">
      <c r="B50" s="9"/>
      <c r="C50" s="17"/>
      <c r="D50" s="24" t="s">
        <v>22</v>
      </c>
      <c r="E50" s="528" t="s">
        <v>35</v>
      </c>
      <c r="F50" s="529"/>
      <c r="G50" s="10"/>
      <c r="H50" s="10"/>
      <c r="I50" s="530" t="s">
        <v>19</v>
      </c>
      <c r="J50" s="530"/>
      <c r="K50" s="531" t="s">
        <v>31</v>
      </c>
      <c r="L50"/>
      <c r="M50"/>
    </row>
    <row r="51" spans="1:40" x14ac:dyDescent="0.25">
      <c r="A51" s="533" t="s">
        <v>16</v>
      </c>
      <c r="B51" s="3"/>
      <c r="C51" s="17"/>
      <c r="D51" s="25" t="s">
        <v>23</v>
      </c>
      <c r="E51" s="287" t="s">
        <v>3</v>
      </c>
      <c r="F51" s="21" t="s">
        <v>4</v>
      </c>
      <c r="G51" s="10"/>
      <c r="H51" s="10"/>
      <c r="I51" s="11" t="s">
        <v>21</v>
      </c>
      <c r="J51" s="10" t="s">
        <v>20</v>
      </c>
      <c r="K51" s="532"/>
      <c r="L51"/>
      <c r="M51"/>
    </row>
    <row r="52" spans="1:40" x14ac:dyDescent="0.25">
      <c r="A52" s="534"/>
      <c r="B52" s="5"/>
      <c r="C52" s="17"/>
      <c r="D52" s="11" t="s">
        <v>8</v>
      </c>
      <c r="E52" s="418">
        <v>0</v>
      </c>
      <c r="F52" s="12">
        <v>0</v>
      </c>
      <c r="G52" s="1" t="s">
        <v>280</v>
      </c>
      <c r="H52" s="1" t="s">
        <v>344</v>
      </c>
      <c r="I52" s="2">
        <v>7.8086000000000003E-2</v>
      </c>
      <c r="J52" s="13">
        <v>0</v>
      </c>
      <c r="K52" s="28">
        <v>0</v>
      </c>
      <c r="L52"/>
      <c r="M52"/>
    </row>
    <row r="53" spans="1:40" x14ac:dyDescent="0.25">
      <c r="A53" s="535"/>
      <c r="B53" s="6"/>
      <c r="C53" s="17"/>
      <c r="D53" s="11" t="s">
        <v>7</v>
      </c>
      <c r="E53" s="419">
        <v>20</v>
      </c>
      <c r="F53" s="12">
        <v>0.196133</v>
      </c>
      <c r="G53" s="1" t="s">
        <v>281</v>
      </c>
      <c r="H53" s="1" t="s">
        <v>347</v>
      </c>
      <c r="I53" s="2">
        <v>-8.2988000000000006E-2</v>
      </c>
      <c r="J53" s="13">
        <v>-0.16107399999999999</v>
      </c>
      <c r="K53" s="28">
        <v>-0.78971042936167468</v>
      </c>
      <c r="L53"/>
      <c r="M53"/>
    </row>
    <row r="54" spans="1:40" x14ac:dyDescent="0.25">
      <c r="B54" s="9"/>
      <c r="C54" s="17"/>
      <c r="D54" s="11" t="s">
        <v>8</v>
      </c>
      <c r="E54" s="418">
        <v>0</v>
      </c>
      <c r="F54" s="12">
        <v>0</v>
      </c>
      <c r="G54" s="1" t="s">
        <v>286</v>
      </c>
      <c r="H54" s="1" t="s">
        <v>348</v>
      </c>
      <c r="I54" s="2">
        <v>7.7443999999999999E-2</v>
      </c>
      <c r="J54" s="13">
        <v>-6.4200000000000368E-4</v>
      </c>
      <c r="K54" s="28">
        <v>-3.1474901276051744E-3</v>
      </c>
      <c r="L54"/>
      <c r="M54"/>
    </row>
    <row r="55" spans="1:40" x14ac:dyDescent="0.25">
      <c r="A55" s="533" t="s">
        <v>17</v>
      </c>
      <c r="B55" s="3"/>
      <c r="C55" s="17"/>
      <c r="D55"/>
      <c r="E55"/>
      <c r="F55"/>
      <c r="G55"/>
      <c r="H55"/>
      <c r="I55"/>
      <c r="J55"/>
      <c r="K55"/>
      <c r="L55"/>
      <c r="M55"/>
      <c r="V55" s="4" t="str">
        <f>RIGHT(Software!E36)</f>
        <v>3</v>
      </c>
    </row>
    <row r="56" spans="1:40" x14ac:dyDescent="0.25">
      <c r="A56" s="534"/>
      <c r="B56" s="5"/>
      <c r="D56" s="4" t="s">
        <v>350</v>
      </c>
      <c r="E56"/>
      <c r="F56"/>
      <c r="G56"/>
      <c r="H56"/>
      <c r="I56"/>
      <c r="J56"/>
      <c r="K56"/>
      <c r="L56"/>
      <c r="M56"/>
    </row>
    <row r="57" spans="1:40" ht="15" customHeight="1" x14ac:dyDescent="0.25">
      <c r="A57" s="535"/>
      <c r="B57" s="6"/>
      <c r="C57" s="16"/>
      <c r="D57" s="24" t="s">
        <v>22</v>
      </c>
      <c r="E57" s="528" t="s">
        <v>35</v>
      </c>
      <c r="F57" s="529"/>
      <c r="G57" s="10"/>
      <c r="H57" s="10"/>
      <c r="I57" s="530" t="s">
        <v>19</v>
      </c>
      <c r="J57" s="530"/>
      <c r="K57" s="531" t="s">
        <v>31</v>
      </c>
      <c r="L57"/>
      <c r="M57"/>
    </row>
    <row r="58" spans="1:40" ht="15" customHeight="1" x14ac:dyDescent="0.25">
      <c r="B58" s="9"/>
      <c r="C58" s="16"/>
      <c r="D58" s="25" t="s">
        <v>23</v>
      </c>
      <c r="E58" s="287" t="s">
        <v>3</v>
      </c>
      <c r="F58" s="21" t="s">
        <v>4</v>
      </c>
      <c r="G58" s="10"/>
      <c r="H58" s="10"/>
      <c r="I58" s="11" t="s">
        <v>21</v>
      </c>
      <c r="J58" s="10" t="s">
        <v>20</v>
      </c>
      <c r="K58" s="532"/>
      <c r="L58"/>
      <c r="M58"/>
    </row>
    <row r="59" spans="1:40" ht="15" customHeight="1" x14ac:dyDescent="0.25">
      <c r="A59" s="533" t="s">
        <v>18</v>
      </c>
      <c r="B59" s="3"/>
      <c r="C59" s="16"/>
      <c r="D59" s="11" t="s">
        <v>8</v>
      </c>
      <c r="E59" s="418">
        <v>0</v>
      </c>
      <c r="F59" s="12">
        <v>0</v>
      </c>
      <c r="G59" s="1" t="s">
        <v>280</v>
      </c>
      <c r="H59" s="1" t="s">
        <v>344</v>
      </c>
      <c r="I59" s="2">
        <v>7.8086000000000003E-2</v>
      </c>
      <c r="J59" s="13">
        <v>0</v>
      </c>
      <c r="K59" s="28">
        <v>0</v>
      </c>
      <c r="L59"/>
      <c r="M59"/>
    </row>
    <row r="60" spans="1:40" x14ac:dyDescent="0.25">
      <c r="A60" s="534"/>
      <c r="B60" s="5"/>
      <c r="C60" s="16"/>
      <c r="D60" s="11" t="s">
        <v>7</v>
      </c>
      <c r="E60" s="419">
        <v>20</v>
      </c>
      <c r="F60" s="12">
        <v>0.196133</v>
      </c>
      <c r="G60" s="1" t="s">
        <v>281</v>
      </c>
      <c r="H60" s="1" t="s">
        <v>347</v>
      </c>
      <c r="I60" s="2">
        <v>-8.2988000000000006E-2</v>
      </c>
      <c r="J60" s="13">
        <v>-0.16107399999999999</v>
      </c>
      <c r="K60" s="28">
        <v>-0.78971042936167468</v>
      </c>
      <c r="L60"/>
    </row>
    <row r="61" spans="1:40" x14ac:dyDescent="0.25">
      <c r="A61" s="535"/>
      <c r="B61" s="6"/>
      <c r="C61" s="16"/>
      <c r="D61" s="11" t="s">
        <v>8</v>
      </c>
      <c r="E61" s="418">
        <v>0</v>
      </c>
      <c r="F61" s="12">
        <v>0</v>
      </c>
      <c r="G61" s="1" t="s">
        <v>286</v>
      </c>
      <c r="H61" s="1" t="s">
        <v>348</v>
      </c>
      <c r="I61" s="2">
        <v>7.7443999999999999E-2</v>
      </c>
      <c r="J61" s="13">
        <v>-6.4200000000000368E-4</v>
      </c>
      <c r="K61" s="28">
        <v>-3.1474901276051744E-3</v>
      </c>
      <c r="L61"/>
    </row>
    <row r="62" spans="1:40" x14ac:dyDescent="0.25">
      <c r="B62" s="9"/>
      <c r="C62" s="16"/>
      <c r="D62"/>
      <c r="E62"/>
      <c r="F62"/>
      <c r="G62"/>
      <c r="H62"/>
      <c r="I62"/>
      <c r="J62"/>
      <c r="K62"/>
      <c r="L62"/>
    </row>
    <row r="63" spans="1:40" ht="14.45" customHeight="1" x14ac:dyDescent="0.25">
      <c r="A63" s="533" t="s">
        <v>8</v>
      </c>
      <c r="B63" s="3" t="s">
        <v>286</v>
      </c>
      <c r="C63" s="16"/>
      <c r="D63" s="8" t="s">
        <v>351</v>
      </c>
      <c r="E63"/>
      <c r="F63"/>
      <c r="G63"/>
      <c r="H63"/>
      <c r="I63"/>
      <c r="J63"/>
      <c r="K63"/>
      <c r="L63"/>
      <c r="N63" s="19"/>
      <c r="O63" s="19"/>
    </row>
    <row r="64" spans="1:40" ht="15" customHeight="1" x14ac:dyDescent="0.25">
      <c r="A64" s="534"/>
      <c r="B64" s="5" t="s">
        <v>233</v>
      </c>
      <c r="C64" s="16"/>
      <c r="D64" s="24" t="s">
        <v>22</v>
      </c>
      <c r="E64" s="528" t="s">
        <v>35</v>
      </c>
      <c r="F64" s="529"/>
      <c r="G64" s="10"/>
      <c r="H64" s="10"/>
      <c r="I64" s="530" t="s">
        <v>19</v>
      </c>
      <c r="J64" s="530"/>
      <c r="K64" s="531" t="s">
        <v>31</v>
      </c>
      <c r="L64"/>
      <c r="M64" s="19"/>
      <c r="N64" s="19"/>
      <c r="O64" s="19"/>
    </row>
    <row r="65" spans="1:15" x14ac:dyDescent="0.25">
      <c r="A65" s="535"/>
      <c r="B65" s="6" t="s">
        <v>278</v>
      </c>
      <c r="C65" s="16"/>
      <c r="D65" s="25" t="s">
        <v>23</v>
      </c>
      <c r="E65" s="287" t="s">
        <v>3</v>
      </c>
      <c r="F65" s="21" t="s">
        <v>4</v>
      </c>
      <c r="G65" s="10"/>
      <c r="H65" s="10"/>
      <c r="I65" s="11" t="s">
        <v>21</v>
      </c>
      <c r="J65" s="10" t="s">
        <v>20</v>
      </c>
      <c r="K65" s="532"/>
      <c r="L65"/>
    </row>
    <row r="66" spans="1:15" ht="15.75" x14ac:dyDescent="0.25">
      <c r="C66" s="16"/>
      <c r="D66" s="11" t="s">
        <v>8</v>
      </c>
      <c r="E66" s="418">
        <v>0</v>
      </c>
      <c r="F66" s="12">
        <v>0</v>
      </c>
      <c r="G66" s="1" t="s">
        <v>280</v>
      </c>
      <c r="H66" s="1" t="s">
        <v>344</v>
      </c>
      <c r="I66" s="2">
        <v>7.8086000000000003E-2</v>
      </c>
      <c r="J66" s="13">
        <v>0</v>
      </c>
      <c r="K66" s="28">
        <v>0</v>
      </c>
      <c r="L66"/>
      <c r="M66" s="310" t="s">
        <v>332</v>
      </c>
      <c r="O66" s="4">
        <f>1000</f>
        <v>1000</v>
      </c>
    </row>
    <row r="67" spans="1:15" x14ac:dyDescent="0.25">
      <c r="C67" s="16"/>
      <c r="D67" s="11" t="s">
        <v>7</v>
      </c>
      <c r="E67" s="419">
        <v>20</v>
      </c>
      <c r="F67" s="12">
        <v>0.196133</v>
      </c>
      <c r="G67" s="1" t="s">
        <v>281</v>
      </c>
      <c r="H67" s="1" t="s">
        <v>347</v>
      </c>
      <c r="I67" s="2">
        <v>-8.2988000000000006E-2</v>
      </c>
      <c r="J67" s="13">
        <v>-0.16107399999999999</v>
      </c>
      <c r="K67" s="28">
        <v>-0.78971042936167468</v>
      </c>
      <c r="L67"/>
      <c r="M67" s="13">
        <f>IFERROR(((F67-K67)/K67)*100,"- -")</f>
        <v>-124.83606556374529</v>
      </c>
    </row>
    <row r="68" spans="1:15" x14ac:dyDescent="0.25">
      <c r="C68" s="16"/>
      <c r="D68" s="11" t="s">
        <v>6</v>
      </c>
      <c r="E68" s="419">
        <v>40</v>
      </c>
      <c r="F68" s="12">
        <v>0.392266</v>
      </c>
      <c r="G68" s="1" t="s">
        <v>282</v>
      </c>
      <c r="H68" s="1" t="s">
        <v>352</v>
      </c>
      <c r="I68" s="2">
        <v>-0.24268200000000001</v>
      </c>
      <c r="J68" s="13">
        <v>-0.320768</v>
      </c>
      <c r="K68" s="28">
        <v>-1.5727011308303602</v>
      </c>
      <c r="L68"/>
      <c r="M68" s="13">
        <f>IFERROR(((F68-K68)/K68)*100,"- -")</f>
        <v>-124.9421833754828</v>
      </c>
    </row>
    <row r="69" spans="1:15" x14ac:dyDescent="0.25">
      <c r="C69" s="16"/>
      <c r="D69" s="11" t="s">
        <v>5</v>
      </c>
      <c r="E69" s="419">
        <v>60</v>
      </c>
      <c r="F69" s="12">
        <v>0.58839900000000001</v>
      </c>
      <c r="G69" s="1" t="s">
        <v>283</v>
      </c>
      <c r="H69" s="1" t="s">
        <v>353</v>
      </c>
      <c r="I69" s="2">
        <v>-0.40344400000000002</v>
      </c>
      <c r="J69" s="13">
        <v>-0.48153000000000001</v>
      </c>
      <c r="K69" s="28">
        <v>-2.3609731055881547</v>
      </c>
      <c r="L69"/>
      <c r="M69" s="13">
        <f>IFERROR(((F69-K69)/K69)*100,"- -")</f>
        <v>-124.92188490446277</v>
      </c>
    </row>
    <row r="70" spans="1:15" x14ac:dyDescent="0.25">
      <c r="C70" s="16"/>
      <c r="D70" s="11" t="s">
        <v>24</v>
      </c>
      <c r="E70" s="419">
        <v>80</v>
      </c>
      <c r="F70" s="12">
        <v>0.78453200000000001</v>
      </c>
      <c r="G70" s="1" t="s">
        <v>284</v>
      </c>
      <c r="H70" s="1" t="s">
        <v>354</v>
      </c>
      <c r="I70" s="2">
        <v>-0.56346600000000002</v>
      </c>
      <c r="J70" s="13">
        <v>-0.64155200000000001</v>
      </c>
      <c r="K70" s="28">
        <v>-3.1456596706970226</v>
      </c>
      <c r="L70"/>
      <c r="M70" s="13">
        <f>IFERROR(((F70-K70)/K70)*100,"- -")</f>
        <v>-124.9401423589527</v>
      </c>
    </row>
    <row r="71" spans="1:15" x14ac:dyDescent="0.25">
      <c r="C71" s="16"/>
      <c r="D71" s="11" t="s">
        <v>25</v>
      </c>
      <c r="E71" s="419">
        <v>100</v>
      </c>
      <c r="F71" s="12">
        <v>0.98066500000000001</v>
      </c>
      <c r="G71" s="1" t="s">
        <v>285</v>
      </c>
      <c r="H71" s="1" t="s">
        <v>355</v>
      </c>
      <c r="I71" s="2">
        <v>-0.72362400000000004</v>
      </c>
      <c r="J71" s="13">
        <v>-0.80171000000000003</v>
      </c>
      <c r="K71" s="28">
        <v>-3.93105458342828</v>
      </c>
      <c r="L71"/>
      <c r="M71" s="13">
        <f>IFERROR(((F71-K71)/K71)*100,"- -")</f>
        <v>-124.94661366784585</v>
      </c>
    </row>
    <row r="72" spans="1:15" x14ac:dyDescent="0.25">
      <c r="D72" s="11" t="s">
        <v>26</v>
      </c>
      <c r="E72" s="419"/>
      <c r="F72" s="12" t="s">
        <v>345</v>
      </c>
      <c r="G72" s="1">
        <v>0</v>
      </c>
      <c r="H72" s="1" t="e">
        <v>#VALUE!</v>
      </c>
      <c r="I72" s="2" t="s">
        <v>346</v>
      </c>
      <c r="J72" s="13" t="s">
        <v>345</v>
      </c>
      <c r="K72" s="28" t="s">
        <v>346</v>
      </c>
      <c r="L72"/>
    </row>
    <row r="73" spans="1:15" x14ac:dyDescent="0.25">
      <c r="C73" s="16"/>
      <c r="D73" s="11" t="s">
        <v>27</v>
      </c>
      <c r="E73" s="419"/>
      <c r="F73" s="12" t="s">
        <v>345</v>
      </c>
      <c r="G73" s="1">
        <v>0</v>
      </c>
      <c r="H73" s="1" t="e">
        <v>#VALUE!</v>
      </c>
      <c r="I73" s="2" t="s">
        <v>346</v>
      </c>
      <c r="J73" s="13" t="s">
        <v>345</v>
      </c>
      <c r="K73" s="28" t="s">
        <v>346</v>
      </c>
      <c r="L73"/>
    </row>
    <row r="74" spans="1:15" ht="15" customHeight="1" x14ac:dyDescent="0.25">
      <c r="C74" s="16"/>
      <c r="D74" s="11" t="s">
        <v>28</v>
      </c>
      <c r="E74" s="419"/>
      <c r="F74" s="12" t="s">
        <v>345</v>
      </c>
      <c r="G74" s="1">
        <v>0</v>
      </c>
      <c r="H74" s="1" t="e">
        <v>#VALUE!</v>
      </c>
      <c r="I74" s="2" t="s">
        <v>346</v>
      </c>
      <c r="J74" s="13" t="s">
        <v>345</v>
      </c>
      <c r="K74" s="28" t="s">
        <v>346</v>
      </c>
      <c r="L74"/>
    </row>
    <row r="75" spans="1:15" ht="15" customHeight="1" x14ac:dyDescent="0.25">
      <c r="C75" s="16"/>
      <c r="D75" s="11" t="s">
        <v>29</v>
      </c>
      <c r="E75" s="419"/>
      <c r="F75" s="12" t="s">
        <v>345</v>
      </c>
      <c r="G75" s="1">
        <v>0</v>
      </c>
      <c r="H75" s="1" t="e">
        <v>#VALUE!</v>
      </c>
      <c r="I75" s="2" t="s">
        <v>346</v>
      </c>
      <c r="J75" s="13" t="s">
        <v>345</v>
      </c>
      <c r="K75" s="28" t="s">
        <v>346</v>
      </c>
      <c r="L75"/>
    </row>
    <row r="76" spans="1:15" x14ac:dyDescent="0.25">
      <c r="C76" s="16"/>
      <c r="D76" s="11" t="s">
        <v>30</v>
      </c>
      <c r="E76" s="419"/>
      <c r="F76" s="12" t="s">
        <v>345</v>
      </c>
      <c r="G76" s="1">
        <v>0</v>
      </c>
      <c r="H76" s="1" t="e">
        <v>#VALUE!</v>
      </c>
      <c r="I76" s="2" t="s">
        <v>346</v>
      </c>
      <c r="J76" s="13" t="s">
        <v>345</v>
      </c>
      <c r="K76" s="28" t="s">
        <v>346</v>
      </c>
      <c r="L76"/>
    </row>
    <row r="77" spans="1:15" x14ac:dyDescent="0.25">
      <c r="C77" s="16"/>
      <c r="D77" s="11" t="s">
        <v>8</v>
      </c>
      <c r="E77" s="418">
        <v>0</v>
      </c>
      <c r="F77" s="12">
        <v>0</v>
      </c>
      <c r="G77" s="1" t="s">
        <v>286</v>
      </c>
      <c r="H77" s="1" t="s">
        <v>348</v>
      </c>
      <c r="I77" s="2">
        <v>7.7443999999999999E-2</v>
      </c>
      <c r="J77" s="13">
        <v>-6.4200000000000368E-4</v>
      </c>
      <c r="K77" s="28">
        <v>-3.1474901276051744E-3</v>
      </c>
      <c r="L77"/>
    </row>
    <row r="78" spans="1:15" x14ac:dyDescent="0.25">
      <c r="C78" s="16"/>
      <c r="D78"/>
      <c r="E78"/>
      <c r="F78"/>
      <c r="G78"/>
      <c r="H78"/>
      <c r="I78"/>
      <c r="J78"/>
      <c r="K78"/>
      <c r="L78"/>
    </row>
    <row r="79" spans="1:15" x14ac:dyDescent="0.25">
      <c r="C79" s="16"/>
      <c r="D79" s="8" t="s">
        <v>356</v>
      </c>
      <c r="E79"/>
      <c r="F79"/>
      <c r="G79"/>
      <c r="H79"/>
      <c r="I79"/>
      <c r="J79"/>
      <c r="K79"/>
      <c r="L79"/>
    </row>
    <row r="80" spans="1:15" ht="15" customHeight="1" x14ac:dyDescent="0.25">
      <c r="C80" s="16"/>
      <c r="D80" s="24" t="s">
        <v>22</v>
      </c>
      <c r="E80" s="528" t="s">
        <v>35</v>
      </c>
      <c r="F80" s="529"/>
      <c r="G80" s="10"/>
      <c r="H80" s="10"/>
      <c r="I80" s="530" t="s">
        <v>19</v>
      </c>
      <c r="J80" s="530"/>
      <c r="K80" s="531" t="s">
        <v>31</v>
      </c>
      <c r="L80"/>
    </row>
    <row r="81" spans="3:13" x14ac:dyDescent="0.25">
      <c r="C81" s="16"/>
      <c r="D81" s="25" t="s">
        <v>23</v>
      </c>
      <c r="E81" s="287" t="s">
        <v>3</v>
      </c>
      <c r="F81" s="21" t="s">
        <v>4</v>
      </c>
      <c r="G81" s="10"/>
      <c r="H81" s="10"/>
      <c r="I81" s="11" t="s">
        <v>21</v>
      </c>
      <c r="J81" s="10" t="s">
        <v>20</v>
      </c>
      <c r="K81" s="532"/>
      <c r="L81"/>
    </row>
    <row r="82" spans="3:13" ht="15.75" x14ac:dyDescent="0.25">
      <c r="C82" s="16"/>
      <c r="D82" s="11" t="s">
        <v>8</v>
      </c>
      <c r="E82" s="418">
        <v>0</v>
      </c>
      <c r="F82" s="12">
        <v>0</v>
      </c>
      <c r="G82" s="1" t="s">
        <v>280</v>
      </c>
      <c r="H82" s="1" t="s">
        <v>344</v>
      </c>
      <c r="I82" s="2">
        <v>7.8086000000000003E-2</v>
      </c>
      <c r="J82" s="13">
        <v>0</v>
      </c>
      <c r="K82" s="28">
        <v>0</v>
      </c>
      <c r="L82"/>
      <c r="M82" s="310" t="s">
        <v>332</v>
      </c>
    </row>
    <row r="83" spans="3:13" x14ac:dyDescent="0.25">
      <c r="C83" s="16"/>
      <c r="D83" s="11" t="s">
        <v>7</v>
      </c>
      <c r="E83" s="419">
        <v>20</v>
      </c>
      <c r="F83" s="12">
        <v>0.196133</v>
      </c>
      <c r="G83" s="1" t="s">
        <v>281</v>
      </c>
      <c r="H83" s="1" t="s">
        <v>347</v>
      </c>
      <c r="I83" s="2">
        <v>-8.2988000000000006E-2</v>
      </c>
      <c r="J83" s="13">
        <v>-0.16107399999999999</v>
      </c>
      <c r="K83" s="28">
        <v>-0.78971042936167468</v>
      </c>
      <c r="L83"/>
      <c r="M83" s="13">
        <f>IFERROR(((F83-K83)/K83)*100,"- -")</f>
        <v>-124.83606556374529</v>
      </c>
    </row>
    <row r="84" spans="3:13" x14ac:dyDescent="0.25">
      <c r="C84" s="16"/>
      <c r="D84" s="11" t="s">
        <v>6</v>
      </c>
      <c r="E84" s="419">
        <v>40</v>
      </c>
      <c r="F84" s="12">
        <v>0.392266</v>
      </c>
      <c r="G84" s="1" t="s">
        <v>282</v>
      </c>
      <c r="H84" s="1" t="s">
        <v>352</v>
      </c>
      <c r="I84" s="2">
        <v>-0.24268200000000001</v>
      </c>
      <c r="J84" s="13">
        <v>-0.320768</v>
      </c>
      <c r="K84" s="28">
        <v>-1.5727011308303602</v>
      </c>
      <c r="L84"/>
      <c r="M84" s="13">
        <f>IFERROR(((F84-K84)/K84)*100,"- -")</f>
        <v>-124.9421833754828</v>
      </c>
    </row>
    <row r="85" spans="3:13" x14ac:dyDescent="0.25">
      <c r="C85" s="16"/>
      <c r="D85" s="11" t="s">
        <v>5</v>
      </c>
      <c r="E85" s="419">
        <v>60</v>
      </c>
      <c r="F85" s="12">
        <v>0.58839900000000001</v>
      </c>
      <c r="G85" s="1" t="s">
        <v>283</v>
      </c>
      <c r="H85" s="1" t="s">
        <v>353</v>
      </c>
      <c r="I85" s="2">
        <v>-0.40344400000000002</v>
      </c>
      <c r="J85" s="13">
        <v>-0.48153000000000001</v>
      </c>
      <c r="K85" s="28">
        <v>-2.3609731055881547</v>
      </c>
      <c r="L85"/>
      <c r="M85" s="13">
        <f>IFERROR(((F85-K85)/K85)*100,"- -")</f>
        <v>-124.92188490446277</v>
      </c>
    </row>
    <row r="86" spans="3:13" x14ac:dyDescent="0.25">
      <c r="C86" s="16"/>
      <c r="D86" s="11" t="s">
        <v>24</v>
      </c>
      <c r="E86" s="419">
        <v>80</v>
      </c>
      <c r="F86" s="12">
        <v>0.78453200000000001</v>
      </c>
      <c r="G86" s="1" t="s">
        <v>284</v>
      </c>
      <c r="H86" s="1" t="s">
        <v>354</v>
      </c>
      <c r="I86" s="2">
        <v>-0.56346600000000002</v>
      </c>
      <c r="J86" s="13">
        <v>-0.64155200000000001</v>
      </c>
      <c r="K86" s="28">
        <v>-3.1456596706970226</v>
      </c>
      <c r="L86"/>
      <c r="M86" s="13">
        <f>IFERROR(((F86-K86)/K86)*100,"- -")</f>
        <v>-124.9401423589527</v>
      </c>
    </row>
    <row r="87" spans="3:13" x14ac:dyDescent="0.25">
      <c r="C87" s="16"/>
      <c r="D87" s="11" t="s">
        <v>25</v>
      </c>
      <c r="E87" s="419">
        <v>100</v>
      </c>
      <c r="F87" s="12">
        <v>0.98066500000000001</v>
      </c>
      <c r="G87" s="1" t="s">
        <v>285</v>
      </c>
      <c r="H87" s="1" t="s">
        <v>355</v>
      </c>
      <c r="I87" s="2">
        <v>-0.72362400000000004</v>
      </c>
      <c r="J87" s="13">
        <v>-0.80171000000000003</v>
      </c>
      <c r="K87" s="28">
        <v>-3.93105458342828</v>
      </c>
      <c r="L87"/>
      <c r="M87" s="13">
        <f>IFERROR(((F87-K87)/K87)*100,"- -")</f>
        <v>-124.94661366784585</v>
      </c>
    </row>
    <row r="88" spans="3:13" x14ac:dyDescent="0.25">
      <c r="D88" s="11" t="s">
        <v>26</v>
      </c>
      <c r="E88" s="419"/>
      <c r="F88" s="12" t="s">
        <v>345</v>
      </c>
      <c r="G88" s="1">
        <v>0</v>
      </c>
      <c r="H88" s="1" t="e">
        <v>#VALUE!</v>
      </c>
      <c r="I88" s="2" t="s">
        <v>346</v>
      </c>
      <c r="J88" s="13" t="s">
        <v>345</v>
      </c>
      <c r="K88" s="28" t="s">
        <v>346</v>
      </c>
      <c r="L88"/>
    </row>
    <row r="89" spans="3:13" x14ac:dyDescent="0.25">
      <c r="D89" s="11" t="s">
        <v>27</v>
      </c>
      <c r="E89" s="419"/>
      <c r="F89" s="12" t="s">
        <v>345</v>
      </c>
      <c r="G89" s="1">
        <v>0</v>
      </c>
      <c r="H89" s="1" t="e">
        <v>#VALUE!</v>
      </c>
      <c r="I89" s="2" t="s">
        <v>346</v>
      </c>
      <c r="J89" s="13" t="s">
        <v>345</v>
      </c>
      <c r="K89" s="28" t="s">
        <v>346</v>
      </c>
    </row>
    <row r="90" spans="3:13" x14ac:dyDescent="0.25">
      <c r="D90" s="11" t="s">
        <v>28</v>
      </c>
      <c r="E90" s="419"/>
      <c r="F90" s="12" t="s">
        <v>345</v>
      </c>
      <c r="G90" s="1">
        <v>0</v>
      </c>
      <c r="H90" s="1" t="e">
        <v>#VALUE!</v>
      </c>
      <c r="I90" s="2" t="s">
        <v>346</v>
      </c>
      <c r="J90" s="13" t="s">
        <v>345</v>
      </c>
      <c r="K90" s="28" t="s">
        <v>346</v>
      </c>
      <c r="L90"/>
      <c r="M90"/>
    </row>
    <row r="91" spans="3:13" ht="15" customHeight="1" x14ac:dyDescent="0.25">
      <c r="C91"/>
      <c r="D91" s="11" t="s">
        <v>29</v>
      </c>
      <c r="E91" s="419"/>
      <c r="F91" s="12" t="s">
        <v>345</v>
      </c>
      <c r="G91" s="1">
        <v>0</v>
      </c>
      <c r="H91" s="1" t="e">
        <v>#VALUE!</v>
      </c>
      <c r="I91" s="2" t="s">
        <v>346</v>
      </c>
      <c r="J91" s="13" t="s">
        <v>345</v>
      </c>
      <c r="K91" s="28" t="s">
        <v>346</v>
      </c>
      <c r="L91"/>
      <c r="M91"/>
    </row>
    <row r="92" spans="3:13" x14ac:dyDescent="0.25">
      <c r="C92"/>
      <c r="D92" s="11" t="s">
        <v>30</v>
      </c>
      <c r="E92" s="419"/>
      <c r="F92" s="12" t="s">
        <v>345</v>
      </c>
      <c r="G92" s="1">
        <v>0</v>
      </c>
      <c r="H92" s="1" t="e">
        <v>#VALUE!</v>
      </c>
      <c r="I92" s="2" t="s">
        <v>346</v>
      </c>
      <c r="J92" s="13" t="s">
        <v>345</v>
      </c>
      <c r="K92" s="28" t="s">
        <v>346</v>
      </c>
      <c r="L92"/>
      <c r="M92"/>
    </row>
    <row r="93" spans="3:13" x14ac:dyDescent="0.25">
      <c r="C93"/>
      <c r="D93" s="11" t="s">
        <v>8</v>
      </c>
      <c r="E93" s="418">
        <v>0</v>
      </c>
      <c r="F93" s="12">
        <v>0</v>
      </c>
      <c r="G93" s="1" t="s">
        <v>286</v>
      </c>
      <c r="H93" s="1" t="s">
        <v>348</v>
      </c>
      <c r="I93" s="2">
        <v>7.7443999999999999E-2</v>
      </c>
      <c r="J93" s="13">
        <v>-6.4200000000000368E-4</v>
      </c>
      <c r="K93" s="28">
        <v>-3.1474901276051744E-3</v>
      </c>
      <c r="L93"/>
      <c r="M93"/>
    </row>
    <row r="94" spans="3:13" x14ac:dyDescent="0.25">
      <c r="C94"/>
      <c r="D94"/>
      <c r="E94"/>
      <c r="F94"/>
      <c r="G94"/>
      <c r="H94"/>
      <c r="I94"/>
      <c r="J94"/>
      <c r="K94"/>
      <c r="L94"/>
      <c r="M94"/>
    </row>
    <row r="95" spans="3:13" x14ac:dyDescent="0.25">
      <c r="C95"/>
      <c r="D95" s="8" t="s">
        <v>357</v>
      </c>
      <c r="E95"/>
      <c r="F95"/>
      <c r="G95"/>
      <c r="H95"/>
      <c r="I95"/>
      <c r="J95"/>
      <c r="K95"/>
      <c r="L95"/>
      <c r="M95"/>
    </row>
    <row r="96" spans="3:13" ht="15" customHeight="1" x14ac:dyDescent="0.25">
      <c r="C96"/>
      <c r="D96" s="24" t="s">
        <v>22</v>
      </c>
      <c r="E96" s="528" t="s">
        <v>35</v>
      </c>
      <c r="F96" s="529"/>
      <c r="G96" s="10"/>
      <c r="H96" s="10"/>
      <c r="I96" s="530" t="s">
        <v>19</v>
      </c>
      <c r="J96" s="530"/>
      <c r="K96" s="531" t="s">
        <v>31</v>
      </c>
      <c r="L96"/>
      <c r="M96"/>
    </row>
    <row r="97" spans="3:13" x14ac:dyDescent="0.25">
      <c r="C97"/>
      <c r="D97" s="25" t="s">
        <v>23</v>
      </c>
      <c r="E97" s="287" t="s">
        <v>3</v>
      </c>
      <c r="F97" s="21" t="s">
        <v>4</v>
      </c>
      <c r="G97" s="10"/>
      <c r="H97" s="10"/>
      <c r="I97" s="11" t="s">
        <v>21</v>
      </c>
      <c r="J97" s="10" t="s">
        <v>20</v>
      </c>
      <c r="K97" s="532"/>
      <c r="L97"/>
      <c r="M97"/>
    </row>
    <row r="98" spans="3:13" ht="15.75" x14ac:dyDescent="0.25">
      <c r="C98"/>
      <c r="D98" s="11" t="s">
        <v>8</v>
      </c>
      <c r="E98" s="418">
        <v>0</v>
      </c>
      <c r="F98" s="12">
        <v>0</v>
      </c>
      <c r="G98" s="1" t="s">
        <v>280</v>
      </c>
      <c r="H98" s="1" t="s">
        <v>344</v>
      </c>
      <c r="I98" s="2">
        <v>7.8086000000000003E-2</v>
      </c>
      <c r="J98" s="13">
        <v>0</v>
      </c>
      <c r="K98" s="28">
        <v>0</v>
      </c>
      <c r="L98"/>
      <c r="M98" s="310" t="s">
        <v>332</v>
      </c>
    </row>
    <row r="99" spans="3:13" x14ac:dyDescent="0.25">
      <c r="C99"/>
      <c r="D99" s="11" t="s">
        <v>7</v>
      </c>
      <c r="E99" s="419">
        <v>20</v>
      </c>
      <c r="F99" s="12">
        <v>0.196133</v>
      </c>
      <c r="G99" s="1" t="s">
        <v>281</v>
      </c>
      <c r="H99" s="1" t="s">
        <v>347</v>
      </c>
      <c r="I99" s="2">
        <v>-8.2988000000000006E-2</v>
      </c>
      <c r="J99" s="13">
        <v>-0.16107399999999999</v>
      </c>
      <c r="K99" s="28">
        <v>-0.78971042936167468</v>
      </c>
      <c r="L99"/>
      <c r="M99" s="13">
        <f>IFERROR(((F99-K99)/K99)*100,"- -")</f>
        <v>-124.83606556374529</v>
      </c>
    </row>
    <row r="100" spans="3:13" x14ac:dyDescent="0.25">
      <c r="C100"/>
      <c r="D100" s="11" t="s">
        <v>6</v>
      </c>
      <c r="E100" s="419">
        <v>40</v>
      </c>
      <c r="F100" s="12">
        <v>0.392266</v>
      </c>
      <c r="G100" s="1" t="s">
        <v>282</v>
      </c>
      <c r="H100" s="1" t="s">
        <v>352</v>
      </c>
      <c r="I100" s="2">
        <v>-0.24268200000000001</v>
      </c>
      <c r="J100" s="13">
        <v>-0.320768</v>
      </c>
      <c r="K100" s="28">
        <v>-1.5727011308303602</v>
      </c>
      <c r="L100"/>
      <c r="M100" s="13">
        <f>IFERROR(((F100-K100)/K100)*100,"- -")</f>
        <v>-124.9421833754828</v>
      </c>
    </row>
    <row r="101" spans="3:13" x14ac:dyDescent="0.25">
      <c r="C101"/>
      <c r="D101" s="11" t="s">
        <v>5</v>
      </c>
      <c r="E101" s="419">
        <v>60</v>
      </c>
      <c r="F101" s="12">
        <v>0.58839900000000001</v>
      </c>
      <c r="G101" s="1" t="s">
        <v>283</v>
      </c>
      <c r="H101" s="1" t="s">
        <v>353</v>
      </c>
      <c r="I101" s="2">
        <v>-0.40344400000000002</v>
      </c>
      <c r="J101" s="13">
        <v>-0.48153000000000001</v>
      </c>
      <c r="K101" s="28">
        <v>-2.3609731055881547</v>
      </c>
      <c r="L101"/>
      <c r="M101" s="13">
        <f>IFERROR(((F101-K101)/K101)*100,"- -")</f>
        <v>-124.92188490446277</v>
      </c>
    </row>
    <row r="102" spans="3:13" x14ac:dyDescent="0.25">
      <c r="C102"/>
      <c r="D102" s="11" t="s">
        <v>24</v>
      </c>
      <c r="E102" s="419">
        <v>80</v>
      </c>
      <c r="F102" s="12">
        <v>0.78453200000000001</v>
      </c>
      <c r="G102" s="1" t="s">
        <v>284</v>
      </c>
      <c r="H102" s="1" t="s">
        <v>354</v>
      </c>
      <c r="I102" s="2">
        <v>-0.56346600000000002</v>
      </c>
      <c r="J102" s="13">
        <v>-0.64155200000000001</v>
      </c>
      <c r="K102" s="28">
        <v>-3.1456596706970226</v>
      </c>
      <c r="L102"/>
      <c r="M102" s="13">
        <f>IFERROR(((F102-K102)/K102)*100,"- -")</f>
        <v>-124.9401423589527</v>
      </c>
    </row>
    <row r="103" spans="3:13" x14ac:dyDescent="0.25">
      <c r="C103"/>
      <c r="D103" s="11" t="s">
        <v>25</v>
      </c>
      <c r="E103" s="419">
        <v>100</v>
      </c>
      <c r="F103" s="12">
        <v>0.98066500000000001</v>
      </c>
      <c r="G103" s="1" t="s">
        <v>285</v>
      </c>
      <c r="H103" s="1" t="s">
        <v>355</v>
      </c>
      <c r="I103" s="2">
        <v>-0.72362400000000004</v>
      </c>
      <c r="J103" s="13">
        <v>-0.80171000000000003</v>
      </c>
      <c r="K103" s="28">
        <v>-3.93105458342828</v>
      </c>
      <c r="L103"/>
      <c r="M103" s="13">
        <f>IFERROR(((F103-K103)/K103)*100,"- -")</f>
        <v>-124.94661366784585</v>
      </c>
    </row>
    <row r="104" spans="3:13" x14ac:dyDescent="0.25">
      <c r="C104"/>
      <c r="D104" s="11" t="s">
        <v>26</v>
      </c>
      <c r="E104" s="419"/>
      <c r="F104" s="12" t="s">
        <v>345</v>
      </c>
      <c r="G104" s="1">
        <v>0</v>
      </c>
      <c r="H104" s="1" t="e">
        <v>#VALUE!</v>
      </c>
      <c r="I104" s="2" t="s">
        <v>346</v>
      </c>
      <c r="J104" s="13" t="s">
        <v>345</v>
      </c>
      <c r="K104" s="28" t="s">
        <v>346</v>
      </c>
      <c r="L104"/>
      <c r="M104"/>
    </row>
    <row r="105" spans="3:13" x14ac:dyDescent="0.25">
      <c r="C105"/>
      <c r="D105" s="11" t="s">
        <v>27</v>
      </c>
      <c r="E105" s="419"/>
      <c r="F105" s="12" t="s">
        <v>345</v>
      </c>
      <c r="G105" s="1">
        <v>0</v>
      </c>
      <c r="H105" s="1" t="e">
        <v>#VALUE!</v>
      </c>
      <c r="I105" s="2" t="s">
        <v>346</v>
      </c>
      <c r="J105" s="13" t="s">
        <v>345</v>
      </c>
      <c r="K105" s="28" t="s">
        <v>346</v>
      </c>
      <c r="L105"/>
      <c r="M105"/>
    </row>
    <row r="106" spans="3:13" x14ac:dyDescent="0.25">
      <c r="C106"/>
      <c r="D106" s="11" t="s">
        <v>28</v>
      </c>
      <c r="E106" s="419"/>
      <c r="F106" s="12" t="s">
        <v>345</v>
      </c>
      <c r="G106" s="1">
        <v>0</v>
      </c>
      <c r="H106" s="1" t="e">
        <v>#VALUE!</v>
      </c>
      <c r="I106" s="2" t="s">
        <v>346</v>
      </c>
      <c r="J106" s="13" t="s">
        <v>345</v>
      </c>
      <c r="K106" s="28" t="s">
        <v>346</v>
      </c>
      <c r="L106"/>
      <c r="M106"/>
    </row>
    <row r="107" spans="3:13" x14ac:dyDescent="0.25">
      <c r="D107" s="11" t="s">
        <v>29</v>
      </c>
      <c r="E107" s="419"/>
      <c r="F107" s="12" t="s">
        <v>345</v>
      </c>
      <c r="G107" s="1">
        <v>0</v>
      </c>
      <c r="H107" s="1" t="e">
        <v>#VALUE!</v>
      </c>
      <c r="I107" s="2" t="s">
        <v>346</v>
      </c>
      <c r="J107" s="13" t="s">
        <v>345</v>
      </c>
      <c r="K107" s="28" t="s">
        <v>346</v>
      </c>
      <c r="L107"/>
      <c r="M107"/>
    </row>
    <row r="108" spans="3:13" x14ac:dyDescent="0.25">
      <c r="D108" s="11" t="s">
        <v>30</v>
      </c>
      <c r="E108" s="419"/>
      <c r="F108" s="12" t="s">
        <v>345</v>
      </c>
      <c r="G108" s="1">
        <v>0</v>
      </c>
      <c r="H108" s="1" t="e">
        <v>#VALUE!</v>
      </c>
      <c r="I108" s="2" t="s">
        <v>346</v>
      </c>
      <c r="J108" s="13" t="s">
        <v>345</v>
      </c>
      <c r="K108" s="28" t="s">
        <v>346</v>
      </c>
      <c r="L108"/>
      <c r="M108"/>
    </row>
    <row r="109" spans="3:13" x14ac:dyDescent="0.25">
      <c r="D109" s="11" t="s">
        <v>8</v>
      </c>
      <c r="E109" s="418">
        <v>0</v>
      </c>
      <c r="F109" s="12">
        <v>0</v>
      </c>
      <c r="G109" s="1" t="s">
        <v>286</v>
      </c>
      <c r="H109" s="1" t="s">
        <v>348</v>
      </c>
      <c r="I109" s="2">
        <v>7.7443999999999999E-2</v>
      </c>
      <c r="J109" s="13">
        <v>-6.4200000000000368E-4</v>
      </c>
      <c r="K109" s="28">
        <v>-3.1474901276051744E-3</v>
      </c>
    </row>
    <row r="110" spans="3:13" x14ac:dyDescent="0.25">
      <c r="D110"/>
      <c r="E110"/>
      <c r="F110"/>
      <c r="G110"/>
      <c r="H110"/>
      <c r="I110"/>
      <c r="J110"/>
      <c r="K110"/>
    </row>
    <row r="111" spans="3:13" x14ac:dyDescent="0.25">
      <c r="D111"/>
      <c r="E111"/>
      <c r="F111"/>
      <c r="G111"/>
      <c r="H111"/>
      <c r="I111"/>
      <c r="J111"/>
      <c r="K111"/>
    </row>
    <row r="112" spans="3:13" x14ac:dyDescent="0.25">
      <c r="D112"/>
      <c r="E112"/>
      <c r="F112"/>
      <c r="G112"/>
      <c r="H112"/>
      <c r="I112"/>
      <c r="J112"/>
      <c r="K112"/>
    </row>
    <row r="113" spans="4:11" x14ac:dyDescent="0.25">
      <c r="D113"/>
      <c r="E113"/>
      <c r="F113"/>
      <c r="G113"/>
      <c r="H113"/>
      <c r="I113"/>
      <c r="J113"/>
      <c r="K113"/>
    </row>
    <row r="114" spans="4:11" x14ac:dyDescent="0.25">
      <c r="D114"/>
      <c r="E114"/>
      <c r="F114"/>
      <c r="G114"/>
      <c r="H114"/>
      <c r="I114"/>
      <c r="J114"/>
      <c r="K114"/>
    </row>
    <row r="115" spans="4:11" x14ac:dyDescent="0.25">
      <c r="D115"/>
      <c r="E115"/>
      <c r="F115"/>
      <c r="G115"/>
      <c r="H115"/>
      <c r="I115"/>
      <c r="J115"/>
      <c r="K115"/>
    </row>
    <row r="116" spans="4:11" x14ac:dyDescent="0.25">
      <c r="D116"/>
      <c r="E116"/>
      <c r="F116"/>
      <c r="G116"/>
      <c r="H116"/>
      <c r="I116"/>
      <c r="J116"/>
      <c r="K116"/>
    </row>
    <row r="117" spans="4:11" x14ac:dyDescent="0.25">
      <c r="D117"/>
      <c r="E117"/>
      <c r="F117"/>
      <c r="G117"/>
      <c r="H117"/>
      <c r="I117"/>
      <c r="J117"/>
      <c r="K117"/>
    </row>
    <row r="118" spans="4:11" x14ac:dyDescent="0.25">
      <c r="D118"/>
      <c r="E118"/>
      <c r="F118"/>
      <c r="G118"/>
      <c r="H118"/>
      <c r="I118"/>
      <c r="J118"/>
      <c r="K118"/>
    </row>
    <row r="119" spans="4:11" x14ac:dyDescent="0.25">
      <c r="D119"/>
      <c r="E119"/>
      <c r="F119"/>
      <c r="G119"/>
      <c r="H119"/>
      <c r="I119"/>
      <c r="J119"/>
      <c r="K119"/>
    </row>
    <row r="120" spans="4:11" x14ac:dyDescent="0.25">
      <c r="D120"/>
      <c r="E120"/>
      <c r="F120"/>
      <c r="G120"/>
      <c r="H120"/>
      <c r="I120"/>
      <c r="J120"/>
      <c r="K120"/>
    </row>
    <row r="121" spans="4:11" x14ac:dyDescent="0.25">
      <c r="D121"/>
      <c r="E121"/>
      <c r="F121"/>
      <c r="G121"/>
      <c r="H121"/>
      <c r="I121"/>
      <c r="J121"/>
      <c r="K121"/>
    </row>
    <row r="122" spans="4:11" x14ac:dyDescent="0.25">
      <c r="D122"/>
      <c r="E122"/>
      <c r="F122"/>
      <c r="G122"/>
      <c r="H122"/>
      <c r="I122"/>
      <c r="J122"/>
      <c r="K122"/>
    </row>
    <row r="123" spans="4:11" x14ac:dyDescent="0.25">
      <c r="D123"/>
      <c r="E123"/>
      <c r="F123"/>
      <c r="G123"/>
      <c r="H123"/>
      <c r="I123"/>
      <c r="J123"/>
      <c r="K123"/>
    </row>
    <row r="124" spans="4:11" x14ac:dyDescent="0.25">
      <c r="D124"/>
      <c r="E124"/>
      <c r="F124"/>
      <c r="G124"/>
      <c r="H124"/>
      <c r="I124"/>
      <c r="J124"/>
      <c r="K124"/>
    </row>
    <row r="125" spans="4:11" x14ac:dyDescent="0.25">
      <c r="D125"/>
      <c r="E125"/>
      <c r="F125"/>
      <c r="G125"/>
      <c r="H125"/>
      <c r="I125"/>
      <c r="J125"/>
      <c r="K125"/>
    </row>
    <row r="126" spans="4:11" x14ac:dyDescent="0.25">
      <c r="D126"/>
      <c r="E126"/>
      <c r="F126"/>
      <c r="G126"/>
      <c r="H126"/>
      <c r="I126"/>
      <c r="J126"/>
      <c r="K126"/>
    </row>
    <row r="127" spans="4:11" x14ac:dyDescent="0.25">
      <c r="D127"/>
      <c r="E127"/>
      <c r="F127"/>
      <c r="G127"/>
      <c r="H127"/>
      <c r="I127"/>
      <c r="J127"/>
      <c r="K127"/>
    </row>
    <row r="128" spans="4:11" x14ac:dyDescent="0.25">
      <c r="D128"/>
      <c r="E128"/>
      <c r="F128"/>
      <c r="G128"/>
      <c r="H128"/>
      <c r="I128"/>
      <c r="J128"/>
      <c r="K128"/>
    </row>
  </sheetData>
  <mergeCells count="46">
    <mergeCell ref="I43:J43"/>
    <mergeCell ref="K43:K44"/>
    <mergeCell ref="A1:M1"/>
    <mergeCell ref="A2:M2"/>
    <mergeCell ref="A3:M3"/>
    <mergeCell ref="A4:M4"/>
    <mergeCell ref="L18:M18"/>
    <mergeCell ref="AQ25:AR25"/>
    <mergeCell ref="A23:A25"/>
    <mergeCell ref="A27:A29"/>
    <mergeCell ref="A31:A33"/>
    <mergeCell ref="A35:A37"/>
    <mergeCell ref="D34:F35"/>
    <mergeCell ref="E36:F36"/>
    <mergeCell ref="E37:F37"/>
    <mergeCell ref="A63:A65"/>
    <mergeCell ref="A39:A41"/>
    <mergeCell ref="A43:A45"/>
    <mergeCell ref="A47:A49"/>
    <mergeCell ref="A5:M5"/>
    <mergeCell ref="A19:A21"/>
    <mergeCell ref="E20:F20"/>
    <mergeCell ref="I20:J20"/>
    <mergeCell ref="K20:K21"/>
    <mergeCell ref="A59:A61"/>
    <mergeCell ref="A51:A53"/>
    <mergeCell ref="A55:A57"/>
    <mergeCell ref="E40:F40"/>
    <mergeCell ref="E38:F38"/>
    <mergeCell ref="E39:F39"/>
    <mergeCell ref="E43:F43"/>
    <mergeCell ref="E50:F50"/>
    <mergeCell ref="I50:J50"/>
    <mergeCell ref="K50:K51"/>
    <mergeCell ref="E57:F57"/>
    <mergeCell ref="I57:J57"/>
    <mergeCell ref="K57:K58"/>
    <mergeCell ref="E96:F96"/>
    <mergeCell ref="I96:J96"/>
    <mergeCell ref="K96:K97"/>
    <mergeCell ref="E64:F64"/>
    <mergeCell ref="I64:J64"/>
    <mergeCell ref="K64:K65"/>
    <mergeCell ref="E80:F80"/>
    <mergeCell ref="I80:J80"/>
    <mergeCell ref="K80:K81"/>
  </mergeCells>
  <dataValidations disablePrompts="1" count="1">
    <dataValidation type="list" allowBlank="1" showInputMessage="1" showErrorMessage="1" sqref="E36:F36" xr:uid="{00000000-0002-0000-0100-000000000000}">
      <formula1>LoadCell</formula1>
    </dataValidation>
  </dataValidations>
  <printOptions horizontalCentered="1"/>
  <pageMargins left="0.25" right="0.25" top="0.5" bottom="0.5" header="0.3" footer="0.3"/>
  <pageSetup paperSize="9" scale="71" orientation="landscape" r:id="rId1"/>
  <drawing r:id="rId2"/>
  <legacyDrawing r:id="rId3"/>
  <oleObjects>
    <mc:AlternateContent xmlns:mc="http://schemas.openxmlformats.org/markup-compatibility/2006">
      <mc:Choice Requires="x14">
        <oleObject progId="Equation.3" shapeId="20510" r:id="rId4">
          <objectPr defaultSize="0" autoPict="0" r:id="rId5">
            <anchor moveWithCells="1" sizeWithCells="1">
              <from>
                <xdr:col>8</xdr:col>
                <xdr:colOff>571500</xdr:colOff>
                <xdr:row>12</xdr:row>
                <xdr:rowOff>19050</xdr:rowOff>
              </from>
              <to>
                <xdr:col>12</xdr:col>
                <xdr:colOff>552450</xdr:colOff>
                <xdr:row>13</xdr:row>
                <xdr:rowOff>495300</xdr:rowOff>
              </to>
            </anchor>
          </objectPr>
        </oleObject>
      </mc:Choice>
      <mc:Fallback>
        <oleObject progId="Equation.3" shapeId="20510" r:id="rId4"/>
      </mc:Fallback>
    </mc:AlternateContent>
  </oleObjects>
  <mc:AlternateContent xmlns:mc="http://schemas.openxmlformats.org/markup-compatibility/2006">
    <mc:Choice Requires="x14">
      <controls>
        <mc:AlternateContent xmlns:mc="http://schemas.openxmlformats.org/markup-compatibility/2006">
          <mc:Choice Requires="x14">
            <control shapeId="20481" r:id="rId6" name="Button 1">
              <controlPr defaultSize="0" print="0" autoFill="0" autoPict="0" macro="[0]!PrintSeries1">
                <anchor moveWithCells="1" sizeWithCells="1">
                  <from>
                    <xdr:col>12</xdr:col>
                    <xdr:colOff>304800</xdr:colOff>
                    <xdr:row>27</xdr:row>
                    <xdr:rowOff>19050</xdr:rowOff>
                  </from>
                  <to>
                    <xdr:col>12</xdr:col>
                    <xdr:colOff>4343400</xdr:colOff>
                    <xdr:row>28</xdr:row>
                    <xdr:rowOff>209550</xdr:rowOff>
                  </to>
                </anchor>
              </controlPr>
            </control>
          </mc:Choice>
        </mc:AlternateContent>
        <mc:AlternateContent xmlns:mc="http://schemas.openxmlformats.org/markup-compatibility/2006">
          <mc:Choice Requires="x14">
            <control shapeId="20482" r:id="rId7" name="Button 2">
              <controlPr defaultSize="0" print="0" autoFill="0" autoPict="0" macro="[0]!PrintSeries2">
                <anchor moveWithCells="1" sizeWithCells="1">
                  <from>
                    <xdr:col>12</xdr:col>
                    <xdr:colOff>304800</xdr:colOff>
                    <xdr:row>29</xdr:row>
                    <xdr:rowOff>171450</xdr:rowOff>
                  </from>
                  <to>
                    <xdr:col>12</xdr:col>
                    <xdr:colOff>4305300</xdr:colOff>
                    <xdr:row>30</xdr:row>
                    <xdr:rowOff>285750</xdr:rowOff>
                  </to>
                </anchor>
              </controlPr>
            </control>
          </mc:Choice>
        </mc:AlternateContent>
        <mc:AlternateContent xmlns:mc="http://schemas.openxmlformats.org/markup-compatibility/2006">
          <mc:Choice Requires="x14">
            <control shapeId="20483" r:id="rId8" name="Button 3">
              <controlPr defaultSize="0" print="0" autoFill="0" autoPict="0" macro="[0]!PrintSeries3">
                <anchor moveWithCells="1" sizeWithCells="1">
                  <from>
                    <xdr:col>12</xdr:col>
                    <xdr:colOff>304800</xdr:colOff>
                    <xdr:row>31</xdr:row>
                    <xdr:rowOff>190500</xdr:rowOff>
                  </from>
                  <to>
                    <xdr:col>12</xdr:col>
                    <xdr:colOff>4305300</xdr:colOff>
                    <xdr:row>32</xdr:row>
                    <xdr:rowOff>304800</xdr:rowOff>
                  </to>
                </anchor>
              </controlPr>
            </control>
          </mc:Choice>
        </mc:AlternateContent>
        <mc:AlternateContent xmlns:mc="http://schemas.openxmlformats.org/markup-compatibility/2006">
          <mc:Choice Requires="x14">
            <control shapeId="20484" r:id="rId9" name="Button 4">
              <controlPr defaultSize="0" print="0" autoFill="0" autoPict="0" macro="[0]!ErasePreLoad3">
                <anchor moveWithCells="1" sizeWithCells="1">
                  <from>
                    <xdr:col>14</xdr:col>
                    <xdr:colOff>381000</xdr:colOff>
                    <xdr:row>25</xdr:row>
                    <xdr:rowOff>114300</xdr:rowOff>
                  </from>
                  <to>
                    <xdr:col>14</xdr:col>
                    <xdr:colOff>4267200</xdr:colOff>
                    <xdr:row>26</xdr:row>
                    <xdr:rowOff>304800</xdr:rowOff>
                  </to>
                </anchor>
              </controlPr>
            </control>
          </mc:Choice>
        </mc:AlternateContent>
        <mc:AlternateContent xmlns:mc="http://schemas.openxmlformats.org/markup-compatibility/2006">
          <mc:Choice Requires="x14">
            <control shapeId="20485" r:id="rId10" name="Button 5">
              <controlPr defaultSize="0" print="0" autoFill="0" autoPict="0" macro="[0]!EraseSeries1">
                <anchor moveWithCells="1" sizeWithCells="1">
                  <from>
                    <xdr:col>14</xdr:col>
                    <xdr:colOff>381000</xdr:colOff>
                    <xdr:row>27</xdr:row>
                    <xdr:rowOff>95250</xdr:rowOff>
                  </from>
                  <to>
                    <xdr:col>14</xdr:col>
                    <xdr:colOff>4267200</xdr:colOff>
                    <xdr:row>28</xdr:row>
                    <xdr:rowOff>285750</xdr:rowOff>
                  </to>
                </anchor>
              </controlPr>
            </control>
          </mc:Choice>
        </mc:AlternateContent>
        <mc:AlternateContent xmlns:mc="http://schemas.openxmlformats.org/markup-compatibility/2006">
          <mc:Choice Requires="x14">
            <control shapeId="20486" r:id="rId11" name="Button 6">
              <controlPr defaultSize="0" print="0" autoFill="0" autoPict="0" macro="[0]!EraseSeries2">
                <anchor moveWithCells="1" sizeWithCells="1">
                  <from>
                    <xdr:col>14</xdr:col>
                    <xdr:colOff>381000</xdr:colOff>
                    <xdr:row>29</xdr:row>
                    <xdr:rowOff>152400</xdr:rowOff>
                  </from>
                  <to>
                    <xdr:col>14</xdr:col>
                    <xdr:colOff>4267200</xdr:colOff>
                    <xdr:row>30</xdr:row>
                    <xdr:rowOff>342900</xdr:rowOff>
                  </to>
                </anchor>
              </controlPr>
            </control>
          </mc:Choice>
        </mc:AlternateContent>
        <mc:AlternateContent xmlns:mc="http://schemas.openxmlformats.org/markup-compatibility/2006">
          <mc:Choice Requires="x14">
            <control shapeId="20487" r:id="rId12" name="Option Button 7">
              <controlPr defaultSize="0" autoFill="0" autoLine="0" autoPict="0" macro="[0]!kgf">
                <anchor moveWithCells="1">
                  <from>
                    <xdr:col>4</xdr:col>
                    <xdr:colOff>361950</xdr:colOff>
                    <xdr:row>16</xdr:row>
                    <xdr:rowOff>400050</xdr:rowOff>
                  </from>
                  <to>
                    <xdr:col>4</xdr:col>
                    <xdr:colOff>1485900</xdr:colOff>
                    <xdr:row>18</xdr:row>
                    <xdr:rowOff>57150</xdr:rowOff>
                  </to>
                </anchor>
              </controlPr>
            </control>
          </mc:Choice>
        </mc:AlternateContent>
        <mc:AlternateContent xmlns:mc="http://schemas.openxmlformats.org/markup-compatibility/2006">
          <mc:Choice Requires="x14">
            <control shapeId="20488" r:id="rId13" name="Option Button 8">
              <controlPr defaultSize="0" autoFill="0" autoLine="0" autoPict="0" macro="[0]!lbf">
                <anchor moveWithCells="1">
                  <from>
                    <xdr:col>4</xdr:col>
                    <xdr:colOff>361950</xdr:colOff>
                    <xdr:row>17</xdr:row>
                    <xdr:rowOff>438150</xdr:rowOff>
                  </from>
                  <to>
                    <xdr:col>4</xdr:col>
                    <xdr:colOff>1485900</xdr:colOff>
                    <xdr:row>19</xdr:row>
                    <xdr:rowOff>57150</xdr:rowOff>
                  </to>
                </anchor>
              </controlPr>
            </control>
          </mc:Choice>
        </mc:AlternateContent>
        <mc:AlternateContent xmlns:mc="http://schemas.openxmlformats.org/markup-compatibility/2006">
          <mc:Choice Requires="x14">
            <control shapeId="20489" r:id="rId14" name="Option Button 9">
              <controlPr defaultSize="0" autoFill="0" autoLine="0" autoPict="0" macro="[0]!N">
                <anchor moveWithCells="1">
                  <from>
                    <xdr:col>5</xdr:col>
                    <xdr:colOff>438150</xdr:colOff>
                    <xdr:row>16</xdr:row>
                    <xdr:rowOff>381000</xdr:rowOff>
                  </from>
                  <to>
                    <xdr:col>5</xdr:col>
                    <xdr:colOff>1581150</xdr:colOff>
                    <xdr:row>18</xdr:row>
                    <xdr:rowOff>57150</xdr:rowOff>
                  </to>
                </anchor>
              </controlPr>
            </control>
          </mc:Choice>
        </mc:AlternateContent>
        <mc:AlternateContent xmlns:mc="http://schemas.openxmlformats.org/markup-compatibility/2006">
          <mc:Choice Requires="x14">
            <control shapeId="20490" r:id="rId15" name="Option Button 10">
              <controlPr defaultSize="0" autoFill="0" autoLine="0" autoPict="0" macro="[0]!kN">
                <anchor moveWithCells="1">
                  <from>
                    <xdr:col>5</xdr:col>
                    <xdr:colOff>381000</xdr:colOff>
                    <xdr:row>17</xdr:row>
                    <xdr:rowOff>438150</xdr:rowOff>
                  </from>
                  <to>
                    <xdr:col>5</xdr:col>
                    <xdr:colOff>1524000</xdr:colOff>
                    <xdr:row>19</xdr:row>
                    <xdr:rowOff>57150</xdr:rowOff>
                  </to>
                </anchor>
              </controlPr>
            </control>
          </mc:Choice>
        </mc:AlternateContent>
        <mc:AlternateContent xmlns:mc="http://schemas.openxmlformats.org/markup-compatibility/2006">
          <mc:Choice Requires="x14">
            <control shapeId="20494" r:id="rId16" name="Button 14">
              <controlPr defaultSize="0" print="0" autoFill="0" autoPict="0" macro="[0]!PrintPreload">
                <anchor moveWithCells="1" sizeWithCells="1">
                  <from>
                    <xdr:col>12</xdr:col>
                    <xdr:colOff>266700</xdr:colOff>
                    <xdr:row>19</xdr:row>
                    <xdr:rowOff>400050</xdr:rowOff>
                  </from>
                  <to>
                    <xdr:col>12</xdr:col>
                    <xdr:colOff>4400550</xdr:colOff>
                    <xdr:row>21</xdr:row>
                    <xdr:rowOff>0</xdr:rowOff>
                  </to>
                </anchor>
              </controlPr>
            </control>
          </mc:Choice>
        </mc:AlternateContent>
        <mc:AlternateContent xmlns:mc="http://schemas.openxmlformats.org/markup-compatibility/2006">
          <mc:Choice Requires="x14">
            <control shapeId="20495" r:id="rId17" name="Button 15">
              <controlPr defaultSize="0" print="0" autoFill="0" autoPict="0" macro="[0]!EraseSeries3">
                <anchor moveWithCells="1" sizeWithCells="1">
                  <from>
                    <xdr:col>14</xdr:col>
                    <xdr:colOff>381000</xdr:colOff>
                    <xdr:row>31</xdr:row>
                    <xdr:rowOff>152400</xdr:rowOff>
                  </from>
                  <to>
                    <xdr:col>14</xdr:col>
                    <xdr:colOff>4267200</xdr:colOff>
                    <xdr:row>32</xdr:row>
                    <xdr:rowOff>304800</xdr:rowOff>
                  </to>
                </anchor>
              </controlPr>
            </control>
          </mc:Choice>
        </mc:AlternateContent>
        <mc:AlternateContent xmlns:mc="http://schemas.openxmlformats.org/markup-compatibility/2006">
          <mc:Choice Requires="x14">
            <control shapeId="20503" r:id="rId18" name="Button 23">
              <controlPr defaultSize="0" print="0" autoFill="0" autoPict="0" macro="[0]!PrintPreload2">
                <anchor moveWithCells="1" sizeWithCells="1">
                  <from>
                    <xdr:col>12</xdr:col>
                    <xdr:colOff>266700</xdr:colOff>
                    <xdr:row>21</xdr:row>
                    <xdr:rowOff>361950</xdr:rowOff>
                  </from>
                  <to>
                    <xdr:col>12</xdr:col>
                    <xdr:colOff>4400550</xdr:colOff>
                    <xdr:row>23</xdr:row>
                    <xdr:rowOff>57150</xdr:rowOff>
                  </to>
                </anchor>
              </controlPr>
            </control>
          </mc:Choice>
        </mc:AlternateContent>
        <mc:AlternateContent xmlns:mc="http://schemas.openxmlformats.org/markup-compatibility/2006">
          <mc:Choice Requires="x14">
            <control shapeId="20504" r:id="rId19" name="Group Box 24">
              <controlPr defaultSize="0" autoFill="0" autoPict="0">
                <anchor moveWithCells="1">
                  <from>
                    <xdr:col>11</xdr:col>
                    <xdr:colOff>361950</xdr:colOff>
                    <xdr:row>17</xdr:row>
                    <xdr:rowOff>457200</xdr:rowOff>
                  </from>
                  <to>
                    <xdr:col>13</xdr:col>
                    <xdr:colOff>57150</xdr:colOff>
                    <xdr:row>33</xdr:row>
                    <xdr:rowOff>171450</xdr:rowOff>
                  </to>
                </anchor>
              </controlPr>
            </control>
          </mc:Choice>
        </mc:AlternateContent>
        <mc:AlternateContent xmlns:mc="http://schemas.openxmlformats.org/markup-compatibility/2006">
          <mc:Choice Requires="x14">
            <control shapeId="20507" r:id="rId20" name="Group Box 27">
              <controlPr defaultSize="0" autoFill="0" autoPict="0">
                <anchor moveWithCells="1">
                  <from>
                    <xdr:col>13</xdr:col>
                    <xdr:colOff>838200</xdr:colOff>
                    <xdr:row>17</xdr:row>
                    <xdr:rowOff>457200</xdr:rowOff>
                  </from>
                  <to>
                    <xdr:col>15</xdr:col>
                    <xdr:colOff>0</xdr:colOff>
                    <xdr:row>33</xdr:row>
                    <xdr:rowOff>171450</xdr:rowOff>
                  </to>
                </anchor>
              </controlPr>
            </control>
          </mc:Choice>
        </mc:AlternateContent>
        <mc:AlternateContent xmlns:mc="http://schemas.openxmlformats.org/markup-compatibility/2006">
          <mc:Choice Requires="x14">
            <control shapeId="20508" r:id="rId21" name="Button 28">
              <controlPr defaultSize="0" print="0" autoFill="0" autoPict="0" macro="[0]!PrintPreload3">
                <anchor moveWithCells="1" sizeWithCells="1">
                  <from>
                    <xdr:col>12</xdr:col>
                    <xdr:colOff>266700</xdr:colOff>
                    <xdr:row>23</xdr:row>
                    <xdr:rowOff>400050</xdr:rowOff>
                  </from>
                  <to>
                    <xdr:col>12</xdr:col>
                    <xdr:colOff>4400550</xdr:colOff>
                    <xdr:row>25</xdr:row>
                    <xdr:rowOff>95250</xdr:rowOff>
                  </to>
                </anchor>
              </controlPr>
            </control>
          </mc:Choice>
        </mc:AlternateContent>
        <mc:AlternateContent xmlns:mc="http://schemas.openxmlformats.org/markup-compatibility/2006">
          <mc:Choice Requires="x14">
            <control shapeId="20511" r:id="rId22" name="Button 31">
              <controlPr defaultSize="0" print="0" autoFill="0" autoPict="0" macro="[0]!ErasePreLoad">
                <anchor moveWithCells="1" sizeWithCells="1">
                  <from>
                    <xdr:col>14</xdr:col>
                    <xdr:colOff>381000</xdr:colOff>
                    <xdr:row>21</xdr:row>
                    <xdr:rowOff>57150</xdr:rowOff>
                  </from>
                  <to>
                    <xdr:col>14</xdr:col>
                    <xdr:colOff>4267200</xdr:colOff>
                    <xdr:row>22</xdr:row>
                    <xdr:rowOff>285750</xdr:rowOff>
                  </to>
                </anchor>
              </controlPr>
            </control>
          </mc:Choice>
        </mc:AlternateContent>
        <mc:AlternateContent xmlns:mc="http://schemas.openxmlformats.org/markup-compatibility/2006">
          <mc:Choice Requires="x14">
            <control shapeId="20512" r:id="rId23" name="Button 32">
              <controlPr defaultSize="0" print="0" autoFill="0" autoPict="0" macro="[0]!ErasePreLoad2">
                <anchor moveWithCells="1" sizeWithCells="1">
                  <from>
                    <xdr:col>14</xdr:col>
                    <xdr:colOff>381000</xdr:colOff>
                    <xdr:row>23</xdr:row>
                    <xdr:rowOff>114300</xdr:rowOff>
                  </from>
                  <to>
                    <xdr:col>14</xdr:col>
                    <xdr:colOff>4267200</xdr:colOff>
                    <xdr:row>24</xdr:row>
                    <xdr:rowOff>342900</xdr:rowOff>
                  </to>
                </anchor>
              </controlPr>
            </control>
          </mc:Choice>
        </mc:AlternateContent>
        <mc:AlternateContent xmlns:mc="http://schemas.openxmlformats.org/markup-compatibility/2006">
          <mc:Choice Requires="x14">
            <control shapeId="20513" r:id="rId24" name="Button 33">
              <controlPr defaultSize="0" print="0" autoFill="0" autoPict="0" macro="[0]!ErasePreLoadall">
                <anchor moveWithCells="1" sizeWithCells="1">
                  <from>
                    <xdr:col>14</xdr:col>
                    <xdr:colOff>381000</xdr:colOff>
                    <xdr:row>19</xdr:row>
                    <xdr:rowOff>0</xdr:rowOff>
                  </from>
                  <to>
                    <xdr:col>14</xdr:col>
                    <xdr:colOff>4267200</xdr:colOff>
                    <xdr:row>20</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Z70"/>
  <sheetViews>
    <sheetView view="pageBreakPreview" topLeftCell="A13" zoomScale="106" zoomScaleNormal="85" zoomScaleSheetLayoutView="106" workbookViewId="0">
      <selection activeCell="AR29" sqref="AR29"/>
    </sheetView>
  </sheetViews>
  <sheetFormatPr defaultColWidth="9.140625" defaultRowHeight="15" x14ac:dyDescent="0.25"/>
  <cols>
    <col min="1" max="2" width="7" style="4" customWidth="1"/>
    <col min="3" max="7" width="9.28515625" style="4" customWidth="1"/>
    <col min="8" max="8" width="9.5703125" style="4" customWidth="1"/>
    <col min="9" max="9" width="4.5703125" style="4" customWidth="1"/>
    <col min="10" max="14" width="9.28515625" style="4" customWidth="1"/>
    <col min="15" max="18" width="7" style="4" customWidth="1"/>
    <col min="19" max="19" width="2.5703125" style="4" customWidth="1"/>
    <col min="20" max="21" width="9.140625" style="4" customWidth="1"/>
    <col min="22" max="22" width="11.28515625" style="4" customWidth="1"/>
    <col min="23" max="23" width="13.42578125" style="4" customWidth="1"/>
    <col min="24" max="24" width="12.42578125" style="4" customWidth="1"/>
    <col min="25" max="26" width="11.5703125" style="4" customWidth="1"/>
    <col min="27" max="27" width="13.7109375" style="4" customWidth="1"/>
    <col min="28" max="28" width="13.42578125" style="41" customWidth="1"/>
    <col min="29" max="29" width="15.7109375" style="41" customWidth="1"/>
    <col min="30" max="30" width="18.7109375" style="41" customWidth="1"/>
    <col min="31" max="31" width="17.28515625" style="41" customWidth="1"/>
    <col min="32" max="33" width="9.140625" style="41" customWidth="1"/>
    <col min="34" max="37" width="9.140625" style="41"/>
    <col min="38" max="38" width="9" style="41" customWidth="1"/>
    <col min="39" max="39" width="0" style="41" hidden="1" customWidth="1"/>
    <col min="40" max="40" width="11.28515625" style="41" hidden="1" customWidth="1"/>
    <col min="41" max="41" width="9.140625" style="41"/>
    <col min="42" max="42" width="0.7109375" style="41" customWidth="1"/>
    <col min="43" max="44" width="7" style="41" customWidth="1"/>
    <col min="45" max="45" width="7.85546875" style="41" bestFit="1" customWidth="1"/>
    <col min="46" max="16384" width="9.140625" style="41"/>
  </cols>
  <sheetData>
    <row r="1" spans="1:36" s="210" customFormat="1" ht="10.5" customHeight="1" x14ac:dyDescent="0.25">
      <c r="A1" s="569" t="s">
        <v>221</v>
      </c>
      <c r="B1" s="569"/>
      <c r="C1" s="569"/>
      <c r="D1" s="569"/>
      <c r="E1" s="569"/>
      <c r="F1" s="569"/>
      <c r="G1" s="569"/>
      <c r="H1" s="569"/>
      <c r="I1" s="569"/>
      <c r="J1" s="569"/>
      <c r="K1" s="569"/>
      <c r="L1" s="569"/>
      <c r="M1" s="569"/>
      <c r="N1" s="569"/>
      <c r="O1" s="569"/>
      <c r="P1" s="569"/>
      <c r="Q1" s="569"/>
      <c r="R1" s="201"/>
      <c r="S1" s="41"/>
      <c r="T1" s="41"/>
      <c r="U1" s="41"/>
      <c r="V1" s="41"/>
      <c r="W1" s="41"/>
      <c r="X1" s="41"/>
      <c r="Y1" s="41"/>
      <c r="Z1" s="41"/>
      <c r="AA1" s="41"/>
      <c r="AB1" s="41"/>
      <c r="AC1" s="41"/>
      <c r="AD1" s="41"/>
      <c r="AE1" s="41"/>
      <c r="AF1" s="41"/>
      <c r="AG1" s="41"/>
      <c r="AH1" s="41"/>
      <c r="AI1" s="41"/>
      <c r="AJ1" s="201"/>
    </row>
    <row r="2" spans="1:36" s="210" customFormat="1" ht="10.5" customHeight="1" x14ac:dyDescent="0.25">
      <c r="A2" s="570" t="s">
        <v>222</v>
      </c>
      <c r="B2" s="570"/>
      <c r="C2" s="570"/>
      <c r="D2" s="570"/>
      <c r="E2" s="570"/>
      <c r="F2" s="570"/>
      <c r="G2" s="570"/>
      <c r="H2" s="570"/>
      <c r="I2" s="570"/>
      <c r="J2" s="570"/>
      <c r="K2" s="570"/>
      <c r="L2" s="570"/>
      <c r="M2" s="570"/>
      <c r="N2" s="570"/>
      <c r="O2" s="570"/>
      <c r="P2" s="570"/>
      <c r="Q2" s="570"/>
      <c r="R2" s="202"/>
      <c r="S2" s="41"/>
      <c r="T2" s="41"/>
      <c r="U2" s="41"/>
      <c r="V2" s="41"/>
      <c r="W2" s="41"/>
      <c r="X2" s="41"/>
      <c r="Y2" s="41"/>
      <c r="Z2" s="41"/>
      <c r="AA2" s="41"/>
      <c r="AB2" s="41"/>
      <c r="AC2" s="41"/>
      <c r="AD2" s="41"/>
      <c r="AE2" s="41"/>
      <c r="AF2" s="41"/>
      <c r="AG2" s="41"/>
      <c r="AH2" s="41"/>
      <c r="AI2" s="41"/>
      <c r="AJ2" s="202"/>
    </row>
    <row r="3" spans="1:36" s="210" customFormat="1" ht="10.5" customHeight="1" x14ac:dyDescent="0.25">
      <c r="A3" s="571" t="s">
        <v>236</v>
      </c>
      <c r="B3" s="571"/>
      <c r="C3" s="571"/>
      <c r="D3" s="571"/>
      <c r="E3" s="571"/>
      <c r="F3" s="571"/>
      <c r="G3" s="571"/>
      <c r="H3" s="571"/>
      <c r="I3" s="571"/>
      <c r="J3" s="571"/>
      <c r="K3" s="571"/>
      <c r="L3" s="571"/>
      <c r="M3" s="571"/>
      <c r="N3" s="571"/>
      <c r="O3" s="571"/>
      <c r="P3" s="571"/>
      <c r="Q3" s="571"/>
      <c r="R3" s="286"/>
      <c r="S3" s="41"/>
      <c r="T3" s="41"/>
      <c r="U3" s="41"/>
      <c r="V3" s="41"/>
      <c r="W3" s="41"/>
      <c r="X3" s="41"/>
      <c r="Y3" s="41"/>
      <c r="Z3" s="41"/>
      <c r="AA3" s="41"/>
      <c r="AB3" s="41"/>
      <c r="AC3" s="41"/>
      <c r="AD3" s="41"/>
      <c r="AE3" s="41"/>
      <c r="AF3" s="41"/>
      <c r="AG3" s="41"/>
      <c r="AH3" s="41"/>
      <c r="AI3" s="41"/>
      <c r="AJ3" s="104"/>
    </row>
    <row r="4" spans="1:36" s="210" customFormat="1" ht="10.5" customHeight="1" x14ac:dyDescent="0.25">
      <c r="A4" s="572" t="s">
        <v>234</v>
      </c>
      <c r="B4" s="572"/>
      <c r="C4" s="572"/>
      <c r="D4" s="572"/>
      <c r="E4" s="572"/>
      <c r="F4" s="572"/>
      <c r="G4" s="572"/>
      <c r="H4" s="572"/>
      <c r="I4" s="572"/>
      <c r="J4" s="572"/>
      <c r="K4" s="572"/>
      <c r="L4" s="572"/>
      <c r="M4" s="572"/>
      <c r="N4" s="572"/>
      <c r="O4" s="572"/>
      <c r="P4" s="572"/>
      <c r="Q4" s="572"/>
      <c r="R4" s="203"/>
      <c r="S4" s="41"/>
      <c r="T4" s="41"/>
      <c r="U4" s="41"/>
      <c r="V4" s="41"/>
      <c r="W4" s="41"/>
      <c r="X4" s="41"/>
      <c r="Y4" s="41"/>
      <c r="Z4" s="41"/>
      <c r="AA4" s="41"/>
      <c r="AB4" s="41"/>
      <c r="AC4" s="41"/>
      <c r="AD4" s="41"/>
      <c r="AE4" s="41"/>
      <c r="AF4" s="41"/>
      <c r="AG4" s="41"/>
      <c r="AH4" s="41"/>
      <c r="AI4" s="41"/>
      <c r="AJ4" s="203"/>
    </row>
    <row r="5" spans="1:36" ht="4.5" customHeight="1" x14ac:dyDescent="0.25">
      <c r="A5" s="181"/>
      <c r="B5" s="182"/>
      <c r="C5" s="182"/>
      <c r="D5" s="182"/>
      <c r="E5" s="182"/>
      <c r="F5" s="182"/>
      <c r="G5" s="182"/>
      <c r="H5" s="182"/>
      <c r="I5" s="182"/>
      <c r="J5" s="182"/>
      <c r="K5" s="182"/>
      <c r="L5" s="182"/>
      <c r="M5" s="182"/>
      <c r="N5" s="182"/>
      <c r="O5" s="182"/>
      <c r="P5" s="182"/>
      <c r="Q5" s="182"/>
      <c r="R5" s="182"/>
      <c r="S5" s="41"/>
      <c r="T5" s="41"/>
      <c r="U5" s="41"/>
      <c r="V5" s="41"/>
      <c r="W5" s="41"/>
      <c r="X5" s="41"/>
      <c r="Y5" s="41"/>
      <c r="Z5" s="41"/>
      <c r="AA5" s="41"/>
      <c r="AJ5" s="182"/>
    </row>
    <row r="6" spans="1:36" s="215" customFormat="1" ht="12" customHeight="1" x14ac:dyDescent="0.25">
      <c r="A6" s="575" t="s">
        <v>193</v>
      </c>
      <c r="B6" s="575"/>
      <c r="C6" s="212" t="str">
        <f>'Dash Board'!D18</f>
        <v>03-2026-FORC-0087</v>
      </c>
      <c r="D6" s="213"/>
      <c r="E6" s="213"/>
      <c r="F6" s="213"/>
      <c r="G6" s="213"/>
      <c r="H6" s="214"/>
      <c r="S6" s="41"/>
      <c r="T6" s="41"/>
      <c r="U6" s="41"/>
      <c r="V6" s="41"/>
      <c r="W6" s="41"/>
      <c r="X6" s="41"/>
      <c r="Y6" s="41"/>
      <c r="Z6" s="41"/>
      <c r="AA6" s="41"/>
      <c r="AB6" s="41"/>
      <c r="AC6" s="41"/>
      <c r="AD6" s="41"/>
      <c r="AE6" s="41"/>
      <c r="AF6" s="41"/>
      <c r="AG6" s="41"/>
      <c r="AH6" s="41"/>
      <c r="AI6" s="41"/>
    </row>
    <row r="7" spans="1:36" s="215" customFormat="1" ht="12" customHeight="1" x14ac:dyDescent="0.25">
      <c r="A7" s="575" t="s">
        <v>195</v>
      </c>
      <c r="B7" s="575"/>
      <c r="C7" s="212" t="str">
        <f>'Dash Board'!D7</f>
        <v>SAVVICE CORPORATION</v>
      </c>
      <c r="D7" s="213"/>
      <c r="E7" s="213"/>
      <c r="F7" s="213"/>
      <c r="G7" s="213"/>
      <c r="H7" s="214"/>
      <c r="S7" s="41"/>
      <c r="T7" s="41"/>
      <c r="U7" s="41"/>
      <c r="V7" s="41"/>
      <c r="W7" s="41"/>
      <c r="X7" s="41"/>
      <c r="Y7" s="41"/>
      <c r="Z7" s="41"/>
      <c r="AA7" s="41"/>
      <c r="AB7" s="41"/>
      <c r="AC7" s="41"/>
      <c r="AD7" s="41"/>
      <c r="AE7" s="41"/>
      <c r="AF7" s="41"/>
      <c r="AG7" s="41"/>
      <c r="AH7" s="41"/>
      <c r="AI7" s="41"/>
    </row>
    <row r="8" spans="1:36" s="215" customFormat="1" ht="12" customHeight="1" x14ac:dyDescent="0.25">
      <c r="A8" s="575" t="s">
        <v>194</v>
      </c>
      <c r="B8" s="575"/>
      <c r="C8" s="566">
        <f>'Dash Board'!D17</f>
        <v>46134</v>
      </c>
      <c r="D8" s="567"/>
      <c r="E8" s="213"/>
      <c r="F8" s="213"/>
      <c r="G8" s="213"/>
      <c r="H8" s="214"/>
      <c r="S8" s="41"/>
      <c r="T8" s="41"/>
      <c r="U8" s="41"/>
      <c r="V8" s="41"/>
      <c r="W8" s="41"/>
      <c r="X8" s="41"/>
      <c r="Y8" s="41"/>
      <c r="Z8" s="41"/>
      <c r="AA8" s="41"/>
      <c r="AB8" s="41"/>
      <c r="AC8" s="41"/>
      <c r="AD8" s="41"/>
      <c r="AE8" s="41"/>
      <c r="AF8" s="41"/>
      <c r="AG8" s="41"/>
      <c r="AH8" s="41"/>
      <c r="AI8" s="41"/>
    </row>
    <row r="9" spans="1:36" s="215" customFormat="1" ht="12" customHeight="1" x14ac:dyDescent="0.25">
      <c r="A9" s="575" t="s">
        <v>197</v>
      </c>
      <c r="B9" s="575"/>
      <c r="C9" s="212" t="str">
        <f>'Dash Board'!D8&amp;" "&amp;'Dash Board'!D9</f>
        <v>3rd Floor BMWC Bldg., Cagayan Valley Road Sta. Rita, Guiginto, Bulacan</v>
      </c>
      <c r="D9" s="213"/>
      <c r="E9" s="213"/>
      <c r="F9" s="213"/>
      <c r="G9" s="213"/>
      <c r="H9" s="214"/>
      <c r="J9" s="211" t="s">
        <v>200</v>
      </c>
      <c r="L9" s="212" t="str">
        <f>'Dash Board'!N17</f>
        <v>Compression</v>
      </c>
      <c r="M9" s="213"/>
      <c r="N9" s="213"/>
      <c r="O9" s="213"/>
      <c r="P9" s="214"/>
      <c r="S9" s="41"/>
      <c r="T9" s="41"/>
      <c r="U9" s="41"/>
      <c r="V9" s="41"/>
      <c r="W9" s="41"/>
      <c r="X9" s="41"/>
      <c r="Y9" s="41"/>
      <c r="Z9" s="41"/>
      <c r="AA9" s="41"/>
      <c r="AB9" s="41"/>
      <c r="AC9" s="41"/>
      <c r="AD9" s="41"/>
      <c r="AE9" s="41"/>
      <c r="AF9" s="41"/>
      <c r="AG9" s="41"/>
      <c r="AH9" s="41"/>
      <c r="AI9" s="41"/>
    </row>
    <row r="10" spans="1:36" s="215" customFormat="1" ht="12" customHeight="1" x14ac:dyDescent="0.25">
      <c r="A10" s="575" t="s">
        <v>196</v>
      </c>
      <c r="B10" s="575"/>
      <c r="C10" s="212" t="str">
        <f>'Dash Board'!D19</f>
        <v>Axle Weighing Scale</v>
      </c>
      <c r="D10" s="213"/>
      <c r="E10" s="213"/>
      <c r="F10" s="213"/>
      <c r="G10" s="213"/>
      <c r="H10" s="214"/>
      <c r="J10" s="211" t="s">
        <v>201</v>
      </c>
      <c r="L10" s="212" t="str">
        <f>'Dash Board'!N18&amp;" "&amp;'Dash Board'!O18</f>
        <v>15000 kgf</v>
      </c>
      <c r="M10" s="213"/>
      <c r="N10" s="213"/>
      <c r="O10" s="213"/>
      <c r="P10" s="214"/>
      <c r="S10" s="41"/>
      <c r="T10" s="41"/>
      <c r="U10" s="41"/>
      <c r="V10" s="41"/>
      <c r="W10" s="41"/>
      <c r="X10" s="41"/>
      <c r="Y10" s="41"/>
      <c r="Z10" s="41"/>
      <c r="AA10" s="41"/>
      <c r="AB10" s="41"/>
      <c r="AC10" s="41"/>
      <c r="AD10" s="41"/>
      <c r="AE10" s="41"/>
      <c r="AF10" s="41"/>
      <c r="AG10" s="41"/>
      <c r="AH10" s="41"/>
      <c r="AI10" s="41"/>
    </row>
    <row r="11" spans="1:36" s="215" customFormat="1" ht="12" customHeight="1" x14ac:dyDescent="0.25">
      <c r="A11" s="575" t="s">
        <v>198</v>
      </c>
      <c r="B11" s="575"/>
      <c r="C11" s="212" t="str">
        <f>'Dash Board'!D23</f>
        <v>LS 630 W. PAD</v>
      </c>
      <c r="D11" s="213"/>
      <c r="E11" s="213"/>
      <c r="F11" s="213"/>
      <c r="G11" s="213"/>
      <c r="H11" s="214"/>
      <c r="J11" s="211" t="s">
        <v>202</v>
      </c>
      <c r="L11" s="212" t="str">
        <f>'Dash Board'!N19&amp;'Dash Board'!O19&amp;'Dash Board'!P19&amp;" "&amp;'Dash Board'!Q19</f>
        <v>0 kgf to 15000 kgf</v>
      </c>
      <c r="M11" s="213"/>
      <c r="N11" s="213"/>
      <c r="O11" s="213"/>
      <c r="P11" s="214"/>
      <c r="S11" s="41"/>
      <c r="T11" s="41"/>
      <c r="U11" s="41"/>
      <c r="V11" s="41"/>
      <c r="W11" s="41"/>
      <c r="X11" s="41"/>
      <c r="Y11" s="41"/>
      <c r="Z11" s="41"/>
      <c r="AA11" s="41"/>
      <c r="AB11" s="41"/>
      <c r="AC11" s="41"/>
      <c r="AD11" s="41"/>
      <c r="AE11" s="41"/>
      <c r="AF11" s="41"/>
      <c r="AG11" s="41"/>
      <c r="AH11" s="41"/>
      <c r="AI11" s="41"/>
    </row>
    <row r="12" spans="1:36" s="215" customFormat="1" ht="12" customHeight="1" x14ac:dyDescent="0.25">
      <c r="A12" s="575" t="s">
        <v>199</v>
      </c>
      <c r="B12" s="575"/>
      <c r="C12" s="292" t="str">
        <f>'Dash Board'!D24</f>
        <v>0122YL21002</v>
      </c>
      <c r="D12" s="213"/>
      <c r="E12" s="213"/>
      <c r="F12" s="213"/>
      <c r="G12" s="213"/>
      <c r="H12" s="214"/>
      <c r="J12" s="211" t="s">
        <v>167</v>
      </c>
      <c r="L12" s="212" t="str">
        <f>'Dash Board'!N21 &amp;" "&amp; 'Dash Board'!O24</f>
        <v xml:space="preserve">50 </v>
      </c>
      <c r="M12" s="213"/>
      <c r="N12" s="213"/>
      <c r="O12" s="213"/>
      <c r="P12" s="214"/>
      <c r="S12" s="41"/>
      <c r="T12" s="41"/>
      <c r="U12" s="41"/>
      <c r="V12" s="41"/>
      <c r="W12" s="41"/>
      <c r="X12" s="41"/>
      <c r="Y12" s="41"/>
      <c r="Z12" s="41"/>
      <c r="AA12" s="41"/>
      <c r="AB12" s="41"/>
      <c r="AC12" s="41"/>
      <c r="AD12" s="41"/>
      <c r="AE12" s="41"/>
      <c r="AF12" s="41"/>
      <c r="AG12" s="41"/>
      <c r="AH12" s="41"/>
      <c r="AI12" s="41"/>
    </row>
    <row r="13" spans="1:36" s="215" customFormat="1" ht="12" customHeight="1" x14ac:dyDescent="0.25">
      <c r="A13" s="575" t="s">
        <v>118</v>
      </c>
      <c r="B13" s="575"/>
      <c r="C13" s="212" t="str">
        <f>'Dash Board'!D29&amp;" "&amp;'Dash Board'!D30</f>
        <v xml:space="preserve"> </v>
      </c>
      <c r="D13" s="213"/>
      <c r="E13" s="213"/>
      <c r="F13" s="213"/>
      <c r="G13" s="213"/>
      <c r="H13" s="214"/>
      <c r="J13" s="211" t="s">
        <v>37</v>
      </c>
      <c r="L13" s="212" t="str">
        <f>'Dash Board'!N24 &amp;" "&amp; 'Dash Board'!O24</f>
        <v xml:space="preserve"> </v>
      </c>
      <c r="M13" s="213"/>
      <c r="N13" s="213"/>
      <c r="O13" s="213"/>
      <c r="P13" s="214"/>
      <c r="S13" s="41"/>
      <c r="T13" s="41"/>
      <c r="U13" s="41"/>
      <c r="V13" s="41"/>
      <c r="W13" s="41"/>
      <c r="X13" s="41"/>
      <c r="Y13" s="41"/>
      <c r="Z13" s="41"/>
      <c r="AA13" s="41"/>
      <c r="AB13" s="41"/>
      <c r="AC13" s="41"/>
      <c r="AD13" s="41"/>
      <c r="AE13" s="41"/>
      <c r="AF13" s="41"/>
      <c r="AG13" s="41"/>
      <c r="AH13" s="41"/>
      <c r="AI13" s="41"/>
    </row>
    <row r="14" spans="1:36" s="215" customFormat="1" ht="7.9" customHeight="1" x14ac:dyDescent="0.25">
      <c r="A14" s="217"/>
      <c r="B14" s="217"/>
      <c r="J14" s="218"/>
      <c r="S14" s="41"/>
      <c r="T14" s="41"/>
      <c r="U14" s="41"/>
      <c r="V14" s="41"/>
      <c r="W14" s="41"/>
      <c r="X14" s="41"/>
      <c r="Y14" s="41"/>
      <c r="Z14" s="41"/>
      <c r="AA14" s="41"/>
      <c r="AB14" s="41"/>
      <c r="AC14" s="41"/>
      <c r="AD14" s="41"/>
      <c r="AE14" s="41"/>
      <c r="AF14" s="41"/>
      <c r="AG14" s="41"/>
      <c r="AH14" s="41"/>
      <c r="AI14" s="41"/>
    </row>
    <row r="15" spans="1:36" s="221" customFormat="1" ht="12" customHeight="1" x14ac:dyDescent="0.25">
      <c r="A15" s="219"/>
      <c r="B15" s="220" t="s">
        <v>203</v>
      </c>
      <c r="C15" s="217"/>
      <c r="D15" s="217"/>
      <c r="E15" s="217"/>
      <c r="F15" s="217"/>
      <c r="G15" s="217"/>
      <c r="H15" s="217"/>
      <c r="I15" s="217"/>
      <c r="J15" s="218"/>
      <c r="K15" s="217"/>
      <c r="L15" s="217"/>
      <c r="M15" s="217"/>
      <c r="N15" s="217"/>
      <c r="O15" s="217"/>
      <c r="P15" s="217"/>
      <c r="Q15" s="217"/>
      <c r="R15" s="217"/>
      <c r="V15" s="217"/>
      <c r="W15" s="217"/>
      <c r="X15" s="217"/>
      <c r="Y15" s="217"/>
      <c r="Z15" s="217"/>
      <c r="AA15" s="217"/>
    </row>
    <row r="16" spans="1:36" s="221" customFormat="1" ht="24.75" thickBot="1" x14ac:dyDescent="0.3">
      <c r="C16" s="222" t="s">
        <v>204</v>
      </c>
      <c r="D16" s="223" t="s">
        <v>205</v>
      </c>
      <c r="E16" s="222" t="s">
        <v>204</v>
      </c>
      <c r="F16" s="223" t="s">
        <v>207</v>
      </c>
      <c r="G16" s="222" t="s">
        <v>204</v>
      </c>
      <c r="H16" s="223" t="s">
        <v>206</v>
      </c>
      <c r="I16" s="217"/>
      <c r="J16" s="224" t="s">
        <v>220</v>
      </c>
      <c r="K16" s="225"/>
      <c r="L16" s="578" t="str">
        <f>Software!E36</f>
        <v>HBM/C3H3</v>
      </c>
      <c r="M16" s="578"/>
      <c r="N16" s="579"/>
      <c r="O16" s="217"/>
      <c r="P16" s="226" t="s">
        <v>223</v>
      </c>
      <c r="Q16" s="226" t="s">
        <v>224</v>
      </c>
      <c r="R16" s="217"/>
      <c r="V16" s="227"/>
      <c r="W16" s="228"/>
      <c r="X16" s="227"/>
      <c r="Y16" s="228"/>
      <c r="Z16" s="227"/>
      <c r="AA16" s="228"/>
    </row>
    <row r="17" spans="1:52" s="221" customFormat="1" ht="16.5" thickTop="1" x14ac:dyDescent="0.25">
      <c r="A17" s="217"/>
      <c r="B17" s="217"/>
      <c r="C17" s="229">
        <f>Software!F45</f>
        <v>0</v>
      </c>
      <c r="D17" s="230">
        <f>Software!I45</f>
        <v>7.8086000000000003E-2</v>
      </c>
      <c r="E17" s="229">
        <f>Software!F52</f>
        <v>0</v>
      </c>
      <c r="F17" s="230">
        <f>Software!I52</f>
        <v>7.8086000000000003E-2</v>
      </c>
      <c r="G17" s="229">
        <f>Software!F59</f>
        <v>0</v>
      </c>
      <c r="H17" s="230">
        <f>Software!I59</f>
        <v>7.8086000000000003E-2</v>
      </c>
      <c r="I17" s="217"/>
      <c r="J17" s="231" t="str">
        <f>"Capacity: "&amp;Software!E37</f>
        <v>Capacity: 10 kN</v>
      </c>
      <c r="K17" s="232"/>
      <c r="L17" s="233" t="s">
        <v>217</v>
      </c>
      <c r="M17" s="576">
        <f>Software!J36</f>
        <v>4.9026319999999997</v>
      </c>
      <c r="N17" s="577"/>
      <c r="O17" s="217"/>
      <c r="P17" s="234">
        <f>Software!E14</f>
        <v>25</v>
      </c>
      <c r="Q17" s="235">
        <f>Software!E15</f>
        <v>33</v>
      </c>
      <c r="R17" s="217"/>
      <c r="V17" s="236"/>
      <c r="W17" s="237"/>
      <c r="X17" s="236"/>
      <c r="Y17" s="237"/>
      <c r="Z17" s="236"/>
      <c r="AA17" s="237"/>
    </row>
    <row r="18" spans="1:52" s="216" customFormat="1" ht="15.6" customHeight="1" x14ac:dyDescent="0.25">
      <c r="A18" s="217"/>
      <c r="B18" s="217"/>
      <c r="C18" s="229">
        <f>Software!F46</f>
        <v>0.196133</v>
      </c>
      <c r="D18" s="230">
        <f>Software!I46</f>
        <v>-8.2988000000000006E-2</v>
      </c>
      <c r="E18" s="229">
        <f>Software!F53</f>
        <v>0.196133</v>
      </c>
      <c r="F18" s="230">
        <f>Software!I53</f>
        <v>-8.2988000000000006E-2</v>
      </c>
      <c r="G18" s="229">
        <f>Software!F60</f>
        <v>0.196133</v>
      </c>
      <c r="H18" s="230">
        <f>Software!I60</f>
        <v>-8.2988000000000006E-2</v>
      </c>
      <c r="I18" s="217"/>
      <c r="J18" s="231" t="str">
        <f>"Serial #: "&amp;Software!E38</f>
        <v>Serial #: F93007</v>
      </c>
      <c r="K18" s="232"/>
      <c r="L18" s="233" t="s">
        <v>218</v>
      </c>
      <c r="M18" s="576">
        <f>Software!J37</f>
        <v>-9.3075079999999999E-4</v>
      </c>
      <c r="N18" s="577"/>
      <c r="O18" s="217"/>
      <c r="P18" s="238">
        <f>Software!F14</f>
        <v>25</v>
      </c>
      <c r="Q18" s="239">
        <f>Software!F15</f>
        <v>33</v>
      </c>
      <c r="R18" s="217"/>
      <c r="S18" s="221"/>
      <c r="T18" s="221"/>
      <c r="U18" s="221"/>
      <c r="V18" s="236"/>
      <c r="W18" s="237"/>
      <c r="X18" s="236"/>
      <c r="Y18" s="237"/>
      <c r="Z18" s="236"/>
      <c r="AA18" s="237"/>
      <c r="AB18" s="221"/>
      <c r="AC18" s="221"/>
      <c r="AD18" s="221"/>
      <c r="AE18" s="573" t="s">
        <v>241</v>
      </c>
      <c r="AF18" s="220"/>
      <c r="AG18" s="220"/>
      <c r="AH18" s="556" t="s">
        <v>248</v>
      </c>
      <c r="AI18" s="557"/>
      <c r="AJ18" s="558"/>
      <c r="AK18" s="220"/>
      <c r="AL18" s="220"/>
      <c r="AM18" s="220"/>
      <c r="AN18" s="220"/>
      <c r="AO18" s="220"/>
      <c r="AP18" s="220"/>
      <c r="AQ18" s="220"/>
      <c r="AX18" s="216" t="e">
        <f>N25/AE24</f>
        <v>#DIV/0!</v>
      </c>
    </row>
    <row r="19" spans="1:52" s="216" customFormat="1" ht="15.6" customHeight="1" x14ac:dyDescent="0.25">
      <c r="A19" s="217"/>
      <c r="B19" s="219"/>
      <c r="C19" s="229">
        <f>Software!F47</f>
        <v>0</v>
      </c>
      <c r="D19" s="230">
        <f>Software!I47</f>
        <v>7.7443999999999999E-2</v>
      </c>
      <c r="E19" s="229">
        <f>Software!F54</f>
        <v>0</v>
      </c>
      <c r="F19" s="230">
        <f>Software!I54</f>
        <v>7.7443999999999999E-2</v>
      </c>
      <c r="G19" s="229">
        <f>Software!F61</f>
        <v>0</v>
      </c>
      <c r="H19" s="230">
        <f>Software!I61</f>
        <v>7.7443999999999999E-2</v>
      </c>
      <c r="I19" s="217"/>
      <c r="J19" s="240" t="str">
        <f>"Cal Cert #: "&amp;Software!E39</f>
        <v>Cal Cert #: 1800-00040-004</v>
      </c>
      <c r="K19" s="241"/>
      <c r="L19" s="242" t="s">
        <v>219</v>
      </c>
      <c r="M19" s="553">
        <f>Software!J38</f>
        <v>-6.3550709999999995E-5</v>
      </c>
      <c r="N19" s="554"/>
      <c r="O19" s="217"/>
      <c r="P19" s="282">
        <f>AVERAGE(P17:P18)</f>
        <v>25</v>
      </c>
      <c r="Q19" s="283">
        <f>AVERAGE(Q17:Q18)</f>
        <v>33</v>
      </c>
      <c r="R19" s="580"/>
      <c r="S19" s="574"/>
      <c r="T19" s="221"/>
      <c r="U19" s="221"/>
      <c r="V19" s="236"/>
      <c r="W19" s="237"/>
      <c r="X19" s="236"/>
      <c r="Y19" s="237"/>
      <c r="Z19" s="236"/>
      <c r="AA19" s="237"/>
      <c r="AB19" s="221"/>
      <c r="AC19" s="221"/>
      <c r="AD19" s="221"/>
      <c r="AE19" s="573"/>
      <c r="AF19" s="220"/>
      <c r="AG19" s="220"/>
      <c r="AH19" s="559"/>
      <c r="AI19" s="560"/>
      <c r="AJ19" s="561"/>
      <c r="AK19" s="220"/>
      <c r="AL19" s="220"/>
      <c r="AM19" s="220"/>
      <c r="AN19" s="220"/>
      <c r="AO19" s="220"/>
      <c r="AP19" s="220"/>
      <c r="AQ19" s="220"/>
    </row>
    <row r="20" spans="1:52" s="216" customFormat="1" ht="7.5" customHeight="1" x14ac:dyDescent="0.25">
      <c r="A20" s="217"/>
      <c r="B20" s="217"/>
      <c r="C20" s="217"/>
      <c r="D20" s="217"/>
      <c r="E20" s="217"/>
      <c r="F20" s="217"/>
      <c r="G20" s="217"/>
      <c r="H20" s="217"/>
      <c r="I20" s="217"/>
      <c r="J20" s="217"/>
      <c r="K20" s="217"/>
      <c r="L20" s="217"/>
      <c r="M20" s="217"/>
      <c r="N20" s="217"/>
      <c r="O20" s="217"/>
      <c r="P20" s="217"/>
      <c r="Q20" s="217"/>
      <c r="R20" s="580"/>
      <c r="S20" s="574"/>
      <c r="T20" s="221"/>
      <c r="U20" s="221"/>
      <c r="V20" s="204" t="s">
        <v>208</v>
      </c>
      <c r="W20" s="243"/>
      <c r="X20" s="243"/>
      <c r="Y20" s="217"/>
      <c r="Z20" s="217"/>
      <c r="AA20" s="217"/>
      <c r="AB20" s="221"/>
      <c r="AC20" s="221"/>
      <c r="AD20" s="221"/>
      <c r="AE20" s="573"/>
      <c r="AF20" s="562" t="s">
        <v>249</v>
      </c>
      <c r="AG20" s="562" t="s">
        <v>250</v>
      </c>
      <c r="AH20" s="562" t="s">
        <v>251</v>
      </c>
      <c r="AI20" s="562" t="s">
        <v>252</v>
      </c>
      <c r="AJ20" s="562" t="s">
        <v>253</v>
      </c>
      <c r="AK20" s="562" t="s">
        <v>288</v>
      </c>
      <c r="AL20" s="562" t="s">
        <v>289</v>
      </c>
      <c r="AM20" s="562" t="s">
        <v>246</v>
      </c>
      <c r="AN20" s="562" t="s">
        <v>247</v>
      </c>
      <c r="AO20" s="562" t="s">
        <v>254</v>
      </c>
      <c r="AP20" s="220"/>
      <c r="AQ20" s="562" t="s">
        <v>277</v>
      </c>
      <c r="AR20" s="562" t="s">
        <v>276</v>
      </c>
      <c r="AS20" s="562" t="s">
        <v>255</v>
      </c>
      <c r="AU20" s="555" t="s">
        <v>272</v>
      </c>
      <c r="AV20" s="555" t="s">
        <v>273</v>
      </c>
      <c r="AW20" s="555" t="s">
        <v>274</v>
      </c>
      <c r="AX20" s="555" t="s">
        <v>271</v>
      </c>
      <c r="AY20" s="555" t="s">
        <v>275</v>
      </c>
      <c r="AZ20" s="555" t="s">
        <v>270</v>
      </c>
    </row>
    <row r="21" spans="1:52" s="216" customFormat="1" ht="12" customHeight="1" x14ac:dyDescent="0.25">
      <c r="A21" s="217"/>
      <c r="B21" s="220" t="s">
        <v>209</v>
      </c>
      <c r="C21" s="217"/>
      <c r="D21" s="217"/>
      <c r="E21" s="217"/>
      <c r="F21" s="217"/>
      <c r="G21" s="217"/>
      <c r="H21" s="217"/>
      <c r="I21" s="220" t="s">
        <v>240</v>
      </c>
      <c r="J21" s="217"/>
      <c r="K21" s="217"/>
      <c r="L21" s="217"/>
      <c r="M21" s="217"/>
      <c r="N21" s="217"/>
      <c r="O21" s="217"/>
      <c r="P21" s="217"/>
      <c r="Q21" s="217"/>
      <c r="R21" s="217"/>
      <c r="S21" s="221"/>
      <c r="T21" s="221"/>
      <c r="U21" s="221"/>
      <c r="V21" s="244" t="s">
        <v>237</v>
      </c>
      <c r="W21" s="243"/>
      <c r="X21" s="243"/>
      <c r="Y21" s="217"/>
      <c r="Z21" s="217"/>
      <c r="AA21" s="217"/>
      <c r="AB21" s="221"/>
      <c r="AC21" s="221"/>
      <c r="AD21" s="221"/>
      <c r="AE21" s="262">
        <f>Software!J39</f>
        <v>1.0999999999999999E-2</v>
      </c>
      <c r="AF21" s="562"/>
      <c r="AG21" s="562"/>
      <c r="AH21" s="562"/>
      <c r="AI21" s="562"/>
      <c r="AJ21" s="562"/>
      <c r="AK21" s="562"/>
      <c r="AL21" s="562"/>
      <c r="AM21" s="562"/>
      <c r="AN21" s="562"/>
      <c r="AO21" s="562"/>
      <c r="AP21" s="220"/>
      <c r="AQ21" s="562"/>
      <c r="AR21" s="562"/>
      <c r="AS21" s="562"/>
      <c r="AU21" s="555"/>
      <c r="AV21" s="555"/>
      <c r="AW21" s="555"/>
      <c r="AX21" s="555"/>
      <c r="AY21" s="555"/>
      <c r="AZ21" s="555"/>
    </row>
    <row r="22" spans="1:52" s="216" customFormat="1" ht="12" customHeight="1" x14ac:dyDescent="0.25">
      <c r="A22" s="217"/>
      <c r="B22" s="217"/>
      <c r="C22" s="586" t="s">
        <v>215</v>
      </c>
      <c r="D22" s="583" t="s">
        <v>210</v>
      </c>
      <c r="E22" s="584"/>
      <c r="F22" s="584"/>
      <c r="G22" s="585"/>
      <c r="H22" s="245"/>
      <c r="I22" s="221"/>
      <c r="J22" s="586" t="s">
        <v>215</v>
      </c>
      <c r="K22" s="583" t="s">
        <v>216</v>
      </c>
      <c r="L22" s="584"/>
      <c r="M22" s="584"/>
      <c r="N22" s="585"/>
      <c r="O22" s="217"/>
      <c r="P22" s="217"/>
      <c r="Q22" s="217"/>
      <c r="R22" s="217"/>
      <c r="S22" s="221"/>
      <c r="T22" s="588" t="s">
        <v>35</v>
      </c>
      <c r="U22" s="588"/>
      <c r="V22" s="581" t="s">
        <v>204</v>
      </c>
      <c r="W22" s="564" t="s">
        <v>205</v>
      </c>
      <c r="X22" s="581" t="s">
        <v>204</v>
      </c>
      <c r="Y22" s="564" t="s">
        <v>207</v>
      </c>
      <c r="Z22" s="581" t="s">
        <v>204</v>
      </c>
      <c r="AA22" s="564" t="s">
        <v>206</v>
      </c>
      <c r="AB22" s="564" t="s">
        <v>214</v>
      </c>
      <c r="AC22" s="564" t="s">
        <v>59</v>
      </c>
      <c r="AD22" s="221"/>
      <c r="AE22" s="573" t="s">
        <v>242</v>
      </c>
      <c r="AF22" s="562"/>
      <c r="AG22" s="562"/>
      <c r="AH22" s="562"/>
      <c r="AI22" s="562"/>
      <c r="AJ22" s="562"/>
      <c r="AK22" s="562"/>
      <c r="AL22" s="562"/>
      <c r="AM22" s="562"/>
      <c r="AN22" s="562"/>
      <c r="AO22" s="562"/>
      <c r="AP22" s="220"/>
      <c r="AQ22" s="562"/>
      <c r="AR22" s="562"/>
      <c r="AS22" s="562"/>
      <c r="AU22" s="555"/>
      <c r="AV22" s="555"/>
      <c r="AW22" s="555"/>
      <c r="AX22" s="555"/>
      <c r="AY22" s="555"/>
      <c r="AZ22" s="555"/>
    </row>
    <row r="23" spans="1:52" s="216" customFormat="1" ht="24" customHeight="1" x14ac:dyDescent="0.25">
      <c r="A23" s="217"/>
      <c r="B23" s="217"/>
      <c r="C23" s="587"/>
      <c r="D23" s="223" t="s">
        <v>211</v>
      </c>
      <c r="E23" s="223" t="s">
        <v>212</v>
      </c>
      <c r="F23" s="223" t="s">
        <v>213</v>
      </c>
      <c r="G23" s="247" t="s">
        <v>214</v>
      </c>
      <c r="H23" s="248"/>
      <c r="I23" s="221"/>
      <c r="J23" s="587"/>
      <c r="K23" s="223" t="s">
        <v>211</v>
      </c>
      <c r="L23" s="223" t="s">
        <v>212</v>
      </c>
      <c r="M23" s="223" t="s">
        <v>213</v>
      </c>
      <c r="N23" s="247" t="s">
        <v>214</v>
      </c>
      <c r="O23" s="217"/>
      <c r="P23" s="217"/>
      <c r="Q23" s="217"/>
      <c r="R23" s="217"/>
      <c r="S23" s="221"/>
      <c r="T23" s="249" t="s">
        <v>204</v>
      </c>
      <c r="U23" s="249" t="s">
        <v>238</v>
      </c>
      <c r="V23" s="582"/>
      <c r="W23" s="565"/>
      <c r="X23" s="582"/>
      <c r="Y23" s="565"/>
      <c r="Z23" s="582"/>
      <c r="AA23" s="565"/>
      <c r="AB23" s="565"/>
      <c r="AC23" s="565"/>
      <c r="AD23" s="221"/>
      <c r="AE23" s="573"/>
      <c r="AF23" s="563"/>
      <c r="AG23" s="563"/>
      <c r="AH23" s="563"/>
      <c r="AI23" s="563"/>
      <c r="AJ23" s="563"/>
      <c r="AK23" s="563"/>
      <c r="AL23" s="563"/>
      <c r="AM23" s="563"/>
      <c r="AN23" s="563"/>
      <c r="AO23" s="563"/>
      <c r="AP23" s="220"/>
      <c r="AQ23" s="562"/>
      <c r="AR23" s="562"/>
      <c r="AS23" s="562"/>
      <c r="AU23" s="555"/>
      <c r="AV23" s="555"/>
      <c r="AW23" s="555"/>
      <c r="AX23" s="555"/>
      <c r="AY23" s="555"/>
      <c r="AZ23" s="555"/>
    </row>
    <row r="24" spans="1:52" s="216" customFormat="1" ht="15.6" customHeight="1" x14ac:dyDescent="0.25">
      <c r="A24" s="217"/>
      <c r="B24" s="217"/>
      <c r="C24" s="250">
        <v>0</v>
      </c>
      <c r="D24" s="251">
        <v>0</v>
      </c>
      <c r="E24" s="251">
        <v>0</v>
      </c>
      <c r="F24" s="251">
        <v>0</v>
      </c>
      <c r="G24" s="252">
        <f>ROUND((M17*Z24+M18*Z24^2)*1000,0)</f>
        <v>0</v>
      </c>
      <c r="H24" s="253"/>
      <c r="I24" s="221"/>
      <c r="J24" s="229">
        <f>U24</f>
        <v>0</v>
      </c>
      <c r="K24" s="229">
        <v>-4.9129999999999998E-3</v>
      </c>
      <c r="L24" s="229">
        <v>0</v>
      </c>
      <c r="M24" s="229">
        <v>-4.9129999999999998E-3</v>
      </c>
      <c r="N24" s="254">
        <v>0</v>
      </c>
      <c r="O24" s="255"/>
      <c r="P24" s="255"/>
      <c r="Q24" s="255"/>
      <c r="R24" s="255"/>
      <c r="S24" s="221"/>
      <c r="T24" s="250">
        <f>'Dash Board'!T8</f>
        <v>0</v>
      </c>
      <c r="U24" s="285">
        <f>T24*Software!$K$35</f>
        <v>0</v>
      </c>
      <c r="V24" s="285">
        <f>Software!F66</f>
        <v>0</v>
      </c>
      <c r="W24" s="256">
        <f>Software!J66</f>
        <v>0</v>
      </c>
      <c r="X24" s="285">
        <f>Software!F82</f>
        <v>0</v>
      </c>
      <c r="Y24" s="294">
        <f>Software!J82</f>
        <v>0</v>
      </c>
      <c r="Z24" s="285">
        <f>Software!F98</f>
        <v>0</v>
      </c>
      <c r="AA24" s="294">
        <f>Software!J98</f>
        <v>0</v>
      </c>
      <c r="AB24" s="256">
        <f>ROUND(AVERAGE(W24,Y24,AA24),5)</f>
        <v>0</v>
      </c>
      <c r="AC24" s="256">
        <f>N24</f>
        <v>0</v>
      </c>
      <c r="AD24" s="221"/>
      <c r="AE24" s="263">
        <f>'Dash Board'!N24*Software!K35</f>
        <v>0</v>
      </c>
      <c r="AF24" s="262">
        <v>0</v>
      </c>
      <c r="AG24" s="262">
        <v>0</v>
      </c>
      <c r="AH24" s="262">
        <v>0</v>
      </c>
      <c r="AI24" s="262">
        <v>0</v>
      </c>
      <c r="AJ24" s="262">
        <v>0</v>
      </c>
      <c r="AK24" s="262">
        <v>0</v>
      </c>
      <c r="AL24" s="262">
        <v>0</v>
      </c>
      <c r="AM24" s="262" t="s">
        <v>147</v>
      </c>
      <c r="AN24" s="262" t="s">
        <v>147</v>
      </c>
      <c r="AO24" s="262">
        <v>0</v>
      </c>
      <c r="AP24" s="220"/>
      <c r="AQ24" s="275">
        <v>0</v>
      </c>
      <c r="AR24" s="275">
        <v>0</v>
      </c>
      <c r="AS24" s="275">
        <v>0</v>
      </c>
      <c r="AU24" s="284" t="s">
        <v>147</v>
      </c>
      <c r="AV24" s="284" t="s">
        <v>147</v>
      </c>
      <c r="AW24" s="284" t="s">
        <v>147</v>
      </c>
      <c r="AX24" s="284" t="s">
        <v>147</v>
      </c>
      <c r="AY24" s="284" t="s">
        <v>147</v>
      </c>
      <c r="AZ24" s="284" t="s">
        <v>147</v>
      </c>
    </row>
    <row r="25" spans="1:52" s="216" customFormat="1" ht="15.6" customHeight="1" x14ac:dyDescent="0.25">
      <c r="A25" s="217"/>
      <c r="B25" s="217"/>
      <c r="C25" s="257">
        <f>U25</f>
        <v>29.41995</v>
      </c>
      <c r="D25" s="296">
        <f>W25*$U25/$V25</f>
        <v>-24.161100000000001</v>
      </c>
      <c r="E25" s="296">
        <f>Y25*$U25/$X25</f>
        <v>-24.161100000000001</v>
      </c>
      <c r="F25" s="296">
        <f>AA25*U25/Z25</f>
        <v>-24.161100000000001</v>
      </c>
      <c r="G25" s="258">
        <f>ROUND(AVERAGE(D25:F25),5)</f>
        <v>-24.161100000000001</v>
      </c>
      <c r="H25" s="253"/>
      <c r="I25" s="221"/>
      <c r="J25" s="229">
        <f t="shared" ref="J25:J35" si="0">U25</f>
        <v>29.41995</v>
      </c>
      <c r="K25" s="260">
        <f>ABS(ROUND((($M$17*D25+$M$18*D25^2+$M$19*D25^3)),3))</f>
        <v>118.1</v>
      </c>
      <c r="L25" s="260">
        <f>ABS(ROUND((($M$17*E25+$M$18*E25^2+$M$19*E25^3)),3))</f>
        <v>118.1</v>
      </c>
      <c r="M25" s="260">
        <f>ABS(ROUND((($M$17*F25+$M$18*F25^2+$M$19*F25^3)),3))</f>
        <v>118.1</v>
      </c>
      <c r="N25" s="254">
        <f>ABS(ROUND(AVERAGE(K25:M25),3))</f>
        <v>118.1</v>
      </c>
      <c r="O25" s="255"/>
      <c r="P25" s="255"/>
      <c r="Q25" s="255"/>
      <c r="R25" s="255"/>
      <c r="S25" s="221"/>
      <c r="T25" s="250">
        <f>'Dash Board'!T9</f>
        <v>3000</v>
      </c>
      <c r="U25" s="285">
        <f>T25*Software!$K$35</f>
        <v>29.41995</v>
      </c>
      <c r="V25" s="246">
        <f>Software!F67</f>
        <v>0.196133</v>
      </c>
      <c r="W25" s="295">
        <f>Software!J67</f>
        <v>-0.16107399999999999</v>
      </c>
      <c r="X25" s="285">
        <f>Software!F83</f>
        <v>0.196133</v>
      </c>
      <c r="Y25" s="294">
        <f>Software!J83</f>
        <v>-0.16107399999999999</v>
      </c>
      <c r="Z25" s="285">
        <f>Software!F99</f>
        <v>0.196133</v>
      </c>
      <c r="AA25" s="294">
        <f>Software!J99</f>
        <v>-0.16107399999999999</v>
      </c>
      <c r="AB25" s="256">
        <f t="shared" ref="AB25:AB29" si="1">ROUND(AVERAGE(W25,Y25,AA25),5)</f>
        <v>-0.16106999999999999</v>
      </c>
      <c r="AC25" s="256">
        <f>N25</f>
        <v>118.1</v>
      </c>
      <c r="AD25" s="221"/>
      <c r="AE25" s="568" t="s">
        <v>243</v>
      </c>
      <c r="AF25" s="265">
        <f>((100/N25)*(SQRT(((K25-N25)^2+(L25-N25)^2+(M25-N25)^2)/2)))/SQRT(3)</f>
        <v>0</v>
      </c>
      <c r="AG25" s="265">
        <f>($AE$24*100)/(N25*2*SQRT(3))</f>
        <v>0</v>
      </c>
      <c r="AH25" s="266">
        <f>$AE$21/2</f>
        <v>5.4999999999999997E-3</v>
      </c>
      <c r="AI25" s="265">
        <f>($AE$27*$AE$29)/SQRT(3)</f>
        <v>0</v>
      </c>
      <c r="AJ25" s="265">
        <f>$AE$31/SQRT(3)</f>
        <v>2.8867513459481291E-2</v>
      </c>
      <c r="AK25" s="265">
        <f>SQRT((SUMSQ(AH25:AJ25)))</f>
        <v>2.9386788414750828E-2</v>
      </c>
      <c r="AL25" s="265">
        <f>SQRT(SUMSQ(AF25,AG25,AK25))</f>
        <v>2.9386788414750828E-2</v>
      </c>
      <c r="AM25" s="262" t="e">
        <f>ROUNDDOWN(AL25^4/AF25^4*2,0)</f>
        <v>#DIV/0!</v>
      </c>
      <c r="AN25" s="262">
        <v>2</v>
      </c>
      <c r="AO25" s="266">
        <f>AN25*AL25</f>
        <v>5.8773576829501656E-2</v>
      </c>
      <c r="AP25" s="220"/>
      <c r="AQ25" s="257">
        <f t="shared" ref="AQ25:AQ29" si="2">((J25-N25)/N25)*100</f>
        <v>-75.088950042337004</v>
      </c>
      <c r="AR25" s="276">
        <f>(MAX(K25,L25,M25)-MIN(K25,L25,M25))/N25*100</f>
        <v>0</v>
      </c>
      <c r="AS25" s="276">
        <f>$V$36/IF($J$34&lt;&gt;0,$J$34,$J$29)*100</f>
        <v>0</v>
      </c>
      <c r="AU25" s="284" t="str">
        <f>IF(ABS(AQ25)&lt;=0.5,0.5,IF(ABS(AQ25)&lt;=1,1,IF(ABS(AQ25)&lt;=2,2,IF(ABS(AQ25)&lt;=3,3,"-"))))</f>
        <v>-</v>
      </c>
      <c r="AV25" s="284">
        <f>IF(AR25&lt;=0.5,0.5,IF(AR25&lt;=1,1,IF(AR25&lt;=2,2,IF(AR25&lt;=3,3,"-"))))</f>
        <v>0.5</v>
      </c>
      <c r="AW25" s="284">
        <f>IF(ABS(AS25)&lt;=0.05,0.5,IF(ABS(AS25)&lt;=0.1,1,IF(ABS(AS25)&lt;=0.2,2,IF(ABS(AS25)&lt;=0.3,3,"-"))))</f>
        <v>0.5</v>
      </c>
      <c r="AX25" s="284" t="e">
        <f>IF($AX$18&gt;=400,0.5,IF($AX$18&gt;=200,1,IF($AX$18&gt;=100,2,IF($AX$18&gt;=67,3,"-"))))</f>
        <v>#DIV/0!</v>
      </c>
      <c r="AY25" s="284">
        <f>IF($AE$21&lt;=0.12,0.5,IF($AE$21&lt;=0.25,1,IF($AE$21&lt;=0.5,2,"-")))</f>
        <v>0.5</v>
      </c>
      <c r="AZ25" s="284">
        <f>MAX(AU25,AV25,AW25,AY25)</f>
        <v>0.5</v>
      </c>
    </row>
    <row r="26" spans="1:52" s="216" customFormat="1" ht="17.45" customHeight="1" x14ac:dyDescent="0.25">
      <c r="A26" s="217"/>
      <c r="B26" s="217"/>
      <c r="C26" s="257">
        <f t="shared" ref="C26:C34" si="3">U26</f>
        <v>58.8399</v>
      </c>
      <c r="D26" s="296">
        <f t="shared" ref="D26:D29" si="4">W26*$U26/$V26</f>
        <v>-48.115200000000002</v>
      </c>
      <c r="E26" s="296">
        <f t="shared" ref="E26:E29" si="5">Y26*$U26/$X26</f>
        <v>-48.115200000000002</v>
      </c>
      <c r="F26" s="296">
        <f t="shared" ref="F26:F29" si="6">AA26*U26/Z26</f>
        <v>-48.115200000000002</v>
      </c>
      <c r="G26" s="258">
        <f t="shared" ref="G26:G29" si="7">ROUND(AVERAGE(D26:F26),5)</f>
        <v>-48.115200000000002</v>
      </c>
      <c r="H26" s="253"/>
      <c r="I26" s="221"/>
      <c r="J26" s="229">
        <f t="shared" si="0"/>
        <v>58.8399</v>
      </c>
      <c r="K26" s="260">
        <f t="shared" ref="K26:K29" si="8">ABS(ROUND((($M$17*D26+$M$18*D26^2+$M$19*D26^3)),3))</f>
        <v>230.96700000000001</v>
      </c>
      <c r="L26" s="260">
        <f t="shared" ref="L26:L29" si="9">ABS(ROUND((($M$17*E26+$M$18*E26^2+$M$19*E26^3)),3))</f>
        <v>230.96700000000001</v>
      </c>
      <c r="M26" s="260">
        <f t="shared" ref="M26:M29" si="10">ABS(ROUND((($M$17*F26+$M$18*F26^2+$M$19*F26^3)),3))</f>
        <v>230.96700000000001</v>
      </c>
      <c r="N26" s="254">
        <f t="shared" ref="N26:N29" si="11">ABS(ROUND(AVERAGE(K26:M26),3))</f>
        <v>230.96700000000001</v>
      </c>
      <c r="O26" s="255"/>
      <c r="P26" s="255"/>
      <c r="Q26" s="255"/>
      <c r="R26" s="255"/>
      <c r="S26" s="221"/>
      <c r="T26" s="250">
        <f>'Dash Board'!T10</f>
        <v>6000</v>
      </c>
      <c r="U26" s="285">
        <f>T26*Software!$K$35</f>
        <v>58.8399</v>
      </c>
      <c r="V26" s="246">
        <f>Software!F68</f>
        <v>0.392266</v>
      </c>
      <c r="W26" s="295">
        <f>Software!J68</f>
        <v>-0.320768</v>
      </c>
      <c r="X26" s="285">
        <f>Software!F84</f>
        <v>0.392266</v>
      </c>
      <c r="Y26" s="294">
        <f>Software!J84</f>
        <v>-0.320768</v>
      </c>
      <c r="Z26" s="285">
        <f>Software!F100</f>
        <v>0.392266</v>
      </c>
      <c r="AA26" s="294">
        <f>Software!J100</f>
        <v>-0.320768</v>
      </c>
      <c r="AB26" s="256">
        <f t="shared" si="1"/>
        <v>-0.32077</v>
      </c>
      <c r="AC26" s="256">
        <f t="shared" ref="AC26:AC35" si="12">N26</f>
        <v>230.96700000000001</v>
      </c>
      <c r="AD26" s="221"/>
      <c r="AE26" s="568"/>
      <c r="AF26" s="265">
        <f t="shared" ref="AF26:AF34" si="13">((100/N26)*(SQRT(((K26-N26)^2+(L26-N26)^2+(M26-N26)^2)/2)))/SQRT(3)</f>
        <v>0</v>
      </c>
      <c r="AG26" s="265">
        <f t="shared" ref="AG26:AG34" si="14">($AE$24*100)/(N26*2*SQRT(3))</f>
        <v>0</v>
      </c>
      <c r="AH26" s="266">
        <f t="shared" ref="AH26:AH34" si="15">$AE$21/2</f>
        <v>5.4999999999999997E-3</v>
      </c>
      <c r="AI26" s="265">
        <f t="shared" ref="AI26:AI34" si="16">($AE$27*$AE$29)/SQRT(3)</f>
        <v>0</v>
      </c>
      <c r="AJ26" s="265">
        <f>$AE$31/SQRT(3)</f>
        <v>2.8867513459481291E-2</v>
      </c>
      <c r="AK26" s="265">
        <f t="shared" ref="AK26:AK34" si="17">SQRT((SUMSQ(AH26:AJ26)))</f>
        <v>2.9386788414750828E-2</v>
      </c>
      <c r="AL26" s="265">
        <f t="shared" ref="AL26:AL34" si="18">SQRT(SUMSQ(AF26,AG26,AK26))</f>
        <v>2.9386788414750828E-2</v>
      </c>
      <c r="AM26" s="262" t="e">
        <f t="shared" ref="AM26:AM29" si="19">ROUNDDOWN(AL26^4/AF26^4*2,0)</f>
        <v>#DIV/0!</v>
      </c>
      <c r="AN26" s="262">
        <v>2</v>
      </c>
      <c r="AO26" s="266">
        <f t="shared" ref="AO26:AO34" si="20">AN26*AL26</f>
        <v>5.8773576829501656E-2</v>
      </c>
      <c r="AP26" s="220"/>
      <c r="AQ26" s="257">
        <f t="shared" si="2"/>
        <v>-74.52454246710569</v>
      </c>
      <c r="AR26" s="276">
        <f t="shared" ref="AR26:AR29" si="21">(MAX(K26,L26,M26)-MIN(K26,L26,M26))/N26*100</f>
        <v>0</v>
      </c>
      <c r="AS26" s="276">
        <f t="shared" ref="AS26:AS34" si="22">$V$36/IF($J$29&lt;&gt;0,$J$29,$J$29)*100</f>
        <v>0</v>
      </c>
      <c r="AU26" s="284" t="str">
        <f t="shared" ref="AU26:AU34" si="23">IF(ABS(AQ26)&lt;=0.5,0.5,IF(ABS(AQ26)&lt;=1,1,IF(ABS(AQ26)&lt;=2,2,IF(ABS(AQ26)&lt;=3,3,"-"))))</f>
        <v>-</v>
      </c>
      <c r="AV26" s="284">
        <f t="shared" ref="AV26:AV34" si="24">IF(AR26&lt;=0.5,0.5,IF(AR26&lt;=1,1,IF(AR26&lt;=2,2,IF(AR26&lt;=3,3,"-"))))</f>
        <v>0.5</v>
      </c>
      <c r="AW26" s="284">
        <f t="shared" ref="AW26:AW34" si="25">IF(ABS(AS26)&lt;=0.05,0.5,IF(ABS(AS26)&lt;=0.1,1,IF(ABS(AS26)&lt;=0.2,2,IF(ABS(AS26)&lt;=0.3,3,"-"))))</f>
        <v>0.5</v>
      </c>
      <c r="AX26" s="284" t="e">
        <f t="shared" ref="AX26:AX34" si="26">IF($AX$18&gt;=400,0.5,IF($AX$18&gt;=200,1,IF($AX$18&gt;=100,2,IF($AX$18&gt;=67,3,"-"))))</f>
        <v>#DIV/0!</v>
      </c>
      <c r="AY26" s="284">
        <f t="shared" ref="AY26:AY34" si="27">IF($AE$21&lt;=0.12,0.5,IF($AE$21&lt;=0.25,1,IF($AE$21&lt;=0.5,2,"-")))</f>
        <v>0.5</v>
      </c>
      <c r="AZ26" s="284">
        <f t="shared" ref="AZ26:AZ34" si="28">MAX(AU26,AV26,AW26,AY26)</f>
        <v>0.5</v>
      </c>
    </row>
    <row r="27" spans="1:52" s="216" customFormat="1" ht="17.45" customHeight="1" x14ac:dyDescent="0.25">
      <c r="A27" s="217"/>
      <c r="B27" s="217"/>
      <c r="C27" s="257">
        <f t="shared" si="3"/>
        <v>88.25985</v>
      </c>
      <c r="D27" s="296">
        <f t="shared" si="4"/>
        <v>-72.229500000000002</v>
      </c>
      <c r="E27" s="296">
        <f t="shared" si="5"/>
        <v>-72.229500000000002</v>
      </c>
      <c r="F27" s="296">
        <f t="shared" si="6"/>
        <v>-72.229500000000002</v>
      </c>
      <c r="G27" s="258">
        <f t="shared" si="7"/>
        <v>-72.229500000000002</v>
      </c>
      <c r="H27" s="253"/>
      <c r="I27" s="221"/>
      <c r="J27" s="229">
        <f t="shared" si="0"/>
        <v>88.25985</v>
      </c>
      <c r="K27" s="260">
        <f t="shared" si="8"/>
        <v>335.02300000000002</v>
      </c>
      <c r="L27" s="260">
        <f t="shared" si="9"/>
        <v>335.02300000000002</v>
      </c>
      <c r="M27" s="260">
        <f t="shared" si="10"/>
        <v>335.02300000000002</v>
      </c>
      <c r="N27" s="254">
        <f t="shared" si="11"/>
        <v>335.02300000000002</v>
      </c>
      <c r="O27" s="255"/>
      <c r="P27" s="255"/>
      <c r="Q27" s="255"/>
      <c r="R27" s="255"/>
      <c r="S27" s="221"/>
      <c r="T27" s="250">
        <f>'Dash Board'!T11</f>
        <v>9000</v>
      </c>
      <c r="U27" s="285">
        <f>T27*Software!$K$35</f>
        <v>88.25985</v>
      </c>
      <c r="V27" s="246">
        <f>Software!F69</f>
        <v>0.58839900000000001</v>
      </c>
      <c r="W27" s="295">
        <f>Software!J69</f>
        <v>-0.48153000000000001</v>
      </c>
      <c r="X27" s="285">
        <f>Software!F85</f>
        <v>0.58839900000000001</v>
      </c>
      <c r="Y27" s="294">
        <f>Software!J85</f>
        <v>-0.48153000000000001</v>
      </c>
      <c r="Z27" s="285">
        <f>Software!F101</f>
        <v>0.58839900000000001</v>
      </c>
      <c r="AA27" s="294">
        <f>Software!J101</f>
        <v>-0.48153000000000001</v>
      </c>
      <c r="AB27" s="256">
        <f t="shared" si="1"/>
        <v>-0.48153000000000001</v>
      </c>
      <c r="AC27" s="256">
        <f t="shared" si="12"/>
        <v>335.02300000000002</v>
      </c>
      <c r="AD27" s="221"/>
      <c r="AE27" s="263">
        <v>3.0000000000000001E-3</v>
      </c>
      <c r="AF27" s="265">
        <f t="shared" si="13"/>
        <v>0</v>
      </c>
      <c r="AG27" s="265">
        <f t="shared" si="14"/>
        <v>0</v>
      </c>
      <c r="AH27" s="266">
        <f t="shared" si="15"/>
        <v>5.4999999999999997E-3</v>
      </c>
      <c r="AI27" s="265">
        <f t="shared" si="16"/>
        <v>0</v>
      </c>
      <c r="AJ27" s="265">
        <f>$AE$31/SQRT(3)</f>
        <v>2.8867513459481291E-2</v>
      </c>
      <c r="AK27" s="265">
        <f t="shared" si="17"/>
        <v>2.9386788414750828E-2</v>
      </c>
      <c r="AL27" s="265">
        <f t="shared" si="18"/>
        <v>2.9386788414750828E-2</v>
      </c>
      <c r="AM27" s="262" t="e">
        <f t="shared" si="19"/>
        <v>#DIV/0!</v>
      </c>
      <c r="AN27" s="262">
        <v>2</v>
      </c>
      <c r="AO27" s="266">
        <f t="shared" si="20"/>
        <v>5.8773576829501656E-2</v>
      </c>
      <c r="AP27" s="220"/>
      <c r="AQ27" s="257">
        <f t="shared" si="2"/>
        <v>-73.655584840443794</v>
      </c>
      <c r="AR27" s="276">
        <f t="shared" si="21"/>
        <v>0</v>
      </c>
      <c r="AS27" s="276">
        <f t="shared" si="22"/>
        <v>0</v>
      </c>
      <c r="AU27" s="284" t="str">
        <f t="shared" si="23"/>
        <v>-</v>
      </c>
      <c r="AV27" s="284">
        <f t="shared" si="24"/>
        <v>0.5</v>
      </c>
      <c r="AW27" s="284">
        <f t="shared" si="25"/>
        <v>0.5</v>
      </c>
      <c r="AX27" s="284" t="e">
        <f t="shared" si="26"/>
        <v>#DIV/0!</v>
      </c>
      <c r="AY27" s="284">
        <f t="shared" si="27"/>
        <v>0.5</v>
      </c>
      <c r="AZ27" s="284">
        <f t="shared" si="28"/>
        <v>0.5</v>
      </c>
    </row>
    <row r="28" spans="1:52" s="216" customFormat="1" ht="17.45" customHeight="1" x14ac:dyDescent="0.25">
      <c r="A28" s="217"/>
      <c r="B28" s="217"/>
      <c r="C28" s="257">
        <f t="shared" si="3"/>
        <v>117.6798</v>
      </c>
      <c r="D28" s="296">
        <f t="shared" si="4"/>
        <v>-96.232799999999997</v>
      </c>
      <c r="E28" s="296">
        <f t="shared" si="5"/>
        <v>-96.232799999999997</v>
      </c>
      <c r="F28" s="296">
        <f t="shared" si="6"/>
        <v>-96.232799999999997</v>
      </c>
      <c r="G28" s="258">
        <f t="shared" si="7"/>
        <v>-96.232799999999997</v>
      </c>
      <c r="H28" s="253"/>
      <c r="I28" s="221"/>
      <c r="J28" s="229">
        <f t="shared" si="0"/>
        <v>117.6798</v>
      </c>
      <c r="K28" s="260">
        <f t="shared" si="8"/>
        <v>423.77800000000002</v>
      </c>
      <c r="L28" s="260">
        <f t="shared" si="9"/>
        <v>423.77800000000002</v>
      </c>
      <c r="M28" s="260">
        <f t="shared" si="10"/>
        <v>423.77800000000002</v>
      </c>
      <c r="N28" s="254">
        <f t="shared" si="11"/>
        <v>423.77800000000002</v>
      </c>
      <c r="O28" s="255"/>
      <c r="P28" s="255"/>
      <c r="Q28" s="255"/>
      <c r="R28" s="255"/>
      <c r="S28" s="221"/>
      <c r="T28" s="250">
        <f>'Dash Board'!T12</f>
        <v>12000</v>
      </c>
      <c r="U28" s="285">
        <f>T28*Software!$K$35</f>
        <v>117.6798</v>
      </c>
      <c r="V28" s="246">
        <f>Software!F70</f>
        <v>0.78453200000000001</v>
      </c>
      <c r="W28" s="295">
        <f>Software!J70</f>
        <v>-0.64155200000000001</v>
      </c>
      <c r="X28" s="285">
        <f>Software!F86</f>
        <v>0.78453200000000001</v>
      </c>
      <c r="Y28" s="294">
        <f>Software!J86</f>
        <v>-0.64155200000000001</v>
      </c>
      <c r="Z28" s="285">
        <f>Software!F102</f>
        <v>0.78453200000000001</v>
      </c>
      <c r="AA28" s="294">
        <f>Software!J102</f>
        <v>-0.64155200000000001</v>
      </c>
      <c r="AB28" s="256">
        <f t="shared" si="1"/>
        <v>-0.64154999999999995</v>
      </c>
      <c r="AC28" s="256">
        <f t="shared" si="12"/>
        <v>423.77800000000002</v>
      </c>
      <c r="AD28" s="221"/>
      <c r="AE28" s="263" t="s">
        <v>244</v>
      </c>
      <c r="AF28" s="265">
        <f t="shared" si="13"/>
        <v>0</v>
      </c>
      <c r="AG28" s="265">
        <f t="shared" si="14"/>
        <v>0</v>
      </c>
      <c r="AH28" s="266">
        <f t="shared" si="15"/>
        <v>5.4999999999999997E-3</v>
      </c>
      <c r="AI28" s="265">
        <f t="shared" si="16"/>
        <v>0</v>
      </c>
      <c r="AJ28" s="265">
        <f>$AE$31/SQRT(3)</f>
        <v>2.8867513459481291E-2</v>
      </c>
      <c r="AK28" s="265">
        <f t="shared" si="17"/>
        <v>2.9386788414750828E-2</v>
      </c>
      <c r="AL28" s="265">
        <f t="shared" si="18"/>
        <v>2.9386788414750828E-2</v>
      </c>
      <c r="AM28" s="262" t="e">
        <f t="shared" si="19"/>
        <v>#DIV/0!</v>
      </c>
      <c r="AN28" s="262">
        <v>2</v>
      </c>
      <c r="AO28" s="266">
        <f t="shared" si="20"/>
        <v>5.8773576829501656E-2</v>
      </c>
      <c r="AP28" s="220"/>
      <c r="AQ28" s="257">
        <f t="shared" si="2"/>
        <v>-72.230790649821373</v>
      </c>
      <c r="AR28" s="276">
        <f t="shared" si="21"/>
        <v>0</v>
      </c>
      <c r="AS28" s="276">
        <f t="shared" si="22"/>
        <v>0</v>
      </c>
      <c r="AU28" s="284" t="str">
        <f t="shared" si="23"/>
        <v>-</v>
      </c>
      <c r="AV28" s="284">
        <f t="shared" si="24"/>
        <v>0.5</v>
      </c>
      <c r="AW28" s="284">
        <f t="shared" si="25"/>
        <v>0.5</v>
      </c>
      <c r="AX28" s="284" t="e">
        <f t="shared" si="26"/>
        <v>#DIV/0!</v>
      </c>
      <c r="AY28" s="284">
        <f t="shared" si="27"/>
        <v>0.5</v>
      </c>
      <c r="AZ28" s="284">
        <f t="shared" si="28"/>
        <v>0.5</v>
      </c>
    </row>
    <row r="29" spans="1:52" s="216" customFormat="1" ht="17.45" customHeight="1" x14ac:dyDescent="0.25">
      <c r="A29" s="217"/>
      <c r="B29" s="217"/>
      <c r="C29" s="257">
        <f t="shared" si="3"/>
        <v>147.09975</v>
      </c>
      <c r="D29" s="296">
        <f t="shared" si="4"/>
        <v>-120.2565</v>
      </c>
      <c r="E29" s="296">
        <f t="shared" si="5"/>
        <v>-120.2565</v>
      </c>
      <c r="F29" s="296">
        <f t="shared" si="6"/>
        <v>-120.2565</v>
      </c>
      <c r="G29" s="258">
        <f t="shared" si="7"/>
        <v>-120.2565</v>
      </c>
      <c r="H29" s="253"/>
      <c r="I29" s="221"/>
      <c r="J29" s="229">
        <f t="shared" si="0"/>
        <v>147.09975</v>
      </c>
      <c r="K29" s="260">
        <f t="shared" si="8"/>
        <v>492.512</v>
      </c>
      <c r="L29" s="260">
        <f t="shared" si="9"/>
        <v>492.512</v>
      </c>
      <c r="M29" s="260">
        <f t="shared" si="10"/>
        <v>492.512</v>
      </c>
      <c r="N29" s="254">
        <f t="shared" si="11"/>
        <v>492.512</v>
      </c>
      <c r="O29" s="255"/>
      <c r="P29" s="255"/>
      <c r="Q29" s="255"/>
      <c r="R29" s="255"/>
      <c r="S29" s="221"/>
      <c r="T29" s="250">
        <f>'Dash Board'!T13</f>
        <v>15000</v>
      </c>
      <c r="U29" s="285">
        <f>T29*Software!$K$35</f>
        <v>147.09975</v>
      </c>
      <c r="V29" s="246">
        <f>Software!F71</f>
        <v>0.98066500000000001</v>
      </c>
      <c r="W29" s="295">
        <f>Software!J71</f>
        <v>-0.80171000000000003</v>
      </c>
      <c r="X29" s="285">
        <f>Software!F87</f>
        <v>0.98066500000000001</v>
      </c>
      <c r="Y29" s="294">
        <f>Software!J87</f>
        <v>-0.80171000000000003</v>
      </c>
      <c r="Z29" s="285">
        <f>Software!F103</f>
        <v>0.98066500000000001</v>
      </c>
      <c r="AA29" s="294">
        <f>Software!J103</f>
        <v>-0.80171000000000003</v>
      </c>
      <c r="AB29" s="256">
        <f t="shared" si="1"/>
        <v>-0.80171000000000003</v>
      </c>
      <c r="AC29" s="256">
        <f t="shared" si="12"/>
        <v>492.512</v>
      </c>
      <c r="AD29" s="221"/>
      <c r="AE29" s="264">
        <f>ABS(P17-P18)</f>
        <v>0</v>
      </c>
      <c r="AF29" s="265">
        <f t="shared" si="13"/>
        <v>0</v>
      </c>
      <c r="AG29" s="265">
        <f t="shared" si="14"/>
        <v>0</v>
      </c>
      <c r="AH29" s="266">
        <f t="shared" si="15"/>
        <v>5.4999999999999997E-3</v>
      </c>
      <c r="AI29" s="265">
        <f t="shared" si="16"/>
        <v>0</v>
      </c>
      <c r="AJ29" s="265">
        <f>$AE$31/SQRT(3)</f>
        <v>2.8867513459481291E-2</v>
      </c>
      <c r="AK29" s="265">
        <f t="shared" si="17"/>
        <v>2.9386788414750828E-2</v>
      </c>
      <c r="AL29" s="265">
        <f t="shared" si="18"/>
        <v>2.9386788414750828E-2</v>
      </c>
      <c r="AM29" s="262" t="e">
        <f t="shared" si="19"/>
        <v>#DIV/0!</v>
      </c>
      <c r="AN29" s="262">
        <v>2</v>
      </c>
      <c r="AO29" s="266">
        <f t="shared" si="20"/>
        <v>5.8773576829501656E-2</v>
      </c>
      <c r="AP29" s="220"/>
      <c r="AQ29" s="257">
        <f t="shared" si="2"/>
        <v>-70.132758186602544</v>
      </c>
      <c r="AR29" s="276">
        <f t="shared" si="21"/>
        <v>0</v>
      </c>
      <c r="AS29" s="276">
        <f t="shared" si="22"/>
        <v>0</v>
      </c>
      <c r="AU29" s="284" t="str">
        <f t="shared" si="23"/>
        <v>-</v>
      </c>
      <c r="AV29" s="284">
        <f t="shared" si="24"/>
        <v>0.5</v>
      </c>
      <c r="AW29" s="284">
        <f t="shared" si="25"/>
        <v>0.5</v>
      </c>
      <c r="AX29" s="284" t="e">
        <f t="shared" si="26"/>
        <v>#DIV/0!</v>
      </c>
      <c r="AY29" s="284">
        <f t="shared" si="27"/>
        <v>0.5</v>
      </c>
      <c r="AZ29" s="284">
        <f t="shared" si="28"/>
        <v>0.5</v>
      </c>
    </row>
    <row r="30" spans="1:52" s="216" customFormat="1" ht="17.45" customHeight="1" x14ac:dyDescent="0.25">
      <c r="A30" s="217"/>
      <c r="B30" s="217"/>
      <c r="C30" s="257">
        <f t="shared" si="3"/>
        <v>0</v>
      </c>
      <c r="D30" s="246" t="str">
        <f>IFERROR(ROUND(W30*$U30/$V30,5),"- -")</f>
        <v>- -</v>
      </c>
      <c r="E30" s="246" t="str">
        <f>IFERROR(ROUND(Y30*$U30/$X30,5),"- -")</f>
        <v>- -</v>
      </c>
      <c r="F30" s="246" t="str">
        <f>IFERROR(ROUND(AA30*$U30/$Z30,5),"- -")</f>
        <v>- -</v>
      </c>
      <c r="G30" s="258" t="str">
        <f>IFERROR(ROUND(AVERAGE(D30:F30),5),"- -")</f>
        <v>- -</v>
      </c>
      <c r="H30" s="253"/>
      <c r="I30" s="221"/>
      <c r="J30" s="229">
        <f t="shared" si="0"/>
        <v>0</v>
      </c>
      <c r="K30" s="260" t="str">
        <f>IFERROR(ROUND((($M$17*D30+$M$18*D30^2+$M$19*D30^3)),3),"- -")</f>
        <v>- -</v>
      </c>
      <c r="L30" s="260" t="str">
        <f>IFERROR(ROUND((($M$17*E30+$M$18*E30^2+$M$19*E30^3)),3),"- -")</f>
        <v>- -</v>
      </c>
      <c r="M30" s="260" t="str">
        <f>IFERROR(ROUND((($M$17*F30+$M$18*F30^2+$M$19*F30^3)),3),"- -")</f>
        <v>- -</v>
      </c>
      <c r="N30" s="254" t="str">
        <f>IFERROR(ROUND(AVERAGE(K30:M30),3),"- -")</f>
        <v>- -</v>
      </c>
      <c r="O30" s="255"/>
      <c r="P30" s="255"/>
      <c r="Q30" s="255"/>
      <c r="R30" s="255"/>
      <c r="S30" s="221"/>
      <c r="T30" s="250">
        <f>IFERROR('Dash Board'!T14,"- -")</f>
        <v>0</v>
      </c>
      <c r="U30" s="285">
        <f>T30*Software!$K$35</f>
        <v>0</v>
      </c>
      <c r="V30" s="246" t="str">
        <f>Software!F72</f>
        <v>- -</v>
      </c>
      <c r="W30" s="256" t="str">
        <f>Software!J72</f>
        <v>- -</v>
      </c>
      <c r="X30" s="229" t="str">
        <f>Software!F88</f>
        <v>- -</v>
      </c>
      <c r="Y30" s="256" t="str">
        <f>Software!J88</f>
        <v>- -</v>
      </c>
      <c r="Z30" s="229" t="str">
        <f>Software!F104</f>
        <v>- -</v>
      </c>
      <c r="AA30" s="256" t="str">
        <f>Software!J104</f>
        <v>- -</v>
      </c>
      <c r="AB30" s="256" t="str">
        <f>IFERROR(ROUND(AVERAGE(W30,Y30,AA30),5),"- -")</f>
        <v>- -</v>
      </c>
      <c r="AC30" s="256" t="str">
        <f t="shared" si="12"/>
        <v>- -</v>
      </c>
      <c r="AD30" s="221"/>
      <c r="AE30" s="263" t="s">
        <v>245</v>
      </c>
      <c r="AF30" s="265" t="e">
        <f t="shared" si="13"/>
        <v>#VALUE!</v>
      </c>
      <c r="AG30" s="265" t="e">
        <f t="shared" si="14"/>
        <v>#VALUE!</v>
      </c>
      <c r="AH30" s="266">
        <f t="shared" si="15"/>
        <v>5.4999999999999997E-3</v>
      </c>
      <c r="AI30" s="265">
        <f t="shared" si="16"/>
        <v>0</v>
      </c>
      <c r="AJ30" s="265">
        <f t="shared" ref="AJ30:AJ34" si="29">$AE$31/SQRT(3)</f>
        <v>2.8867513459481291E-2</v>
      </c>
      <c r="AK30" s="265">
        <f t="shared" si="17"/>
        <v>2.9386788414750828E-2</v>
      </c>
      <c r="AL30" s="265" t="e">
        <f t="shared" si="18"/>
        <v>#VALUE!</v>
      </c>
      <c r="AM30" s="262"/>
      <c r="AN30" s="262">
        <v>2</v>
      </c>
      <c r="AO30" s="266" t="e">
        <f t="shared" si="20"/>
        <v>#VALUE!</v>
      </c>
      <c r="AP30" s="220"/>
      <c r="AQ30" s="257" t="str">
        <f>IFERROR(((J30-N30)/N30)*100,"- -")</f>
        <v>- -</v>
      </c>
      <c r="AR30" s="276" t="str">
        <f>IFERROR((MAX(K30,L30,M30)-MIN(K30,L30,M30))/N30*100,"- -")</f>
        <v>- -</v>
      </c>
      <c r="AS30" s="276">
        <f t="shared" si="22"/>
        <v>0</v>
      </c>
      <c r="AU30" s="284" t="e">
        <f>IF(ABS(AQ30)&lt;=0.5,0.5,IF(ABS(AQ30)&lt;=1,1,IF(ABS(AQ30)&lt;=2,2,IF(ABS(AQ30)&lt;=3,3,"-"))))</f>
        <v>#VALUE!</v>
      </c>
      <c r="AV30" s="284" t="str">
        <f t="shared" si="24"/>
        <v>-</v>
      </c>
      <c r="AW30" s="284">
        <f t="shared" si="25"/>
        <v>0.5</v>
      </c>
      <c r="AX30" s="284" t="e">
        <f t="shared" si="26"/>
        <v>#DIV/0!</v>
      </c>
      <c r="AY30" s="284">
        <f t="shared" si="27"/>
        <v>0.5</v>
      </c>
      <c r="AZ30" s="284" t="e">
        <f t="shared" si="28"/>
        <v>#VALUE!</v>
      </c>
    </row>
    <row r="31" spans="1:52" s="216" customFormat="1" ht="15.75" x14ac:dyDescent="0.25">
      <c r="A31" s="217"/>
      <c r="B31" s="217"/>
      <c r="C31" s="257">
        <f t="shared" si="3"/>
        <v>0</v>
      </c>
      <c r="D31" s="246" t="str">
        <f t="shared" ref="D31:D34" si="30">IFERROR(ROUND(W31*$U31/$V31,5),"- -")</f>
        <v>- -</v>
      </c>
      <c r="E31" s="246" t="str">
        <f t="shared" ref="E31:E34" si="31">IFERROR(ROUND(Y31*$U31/$X31,5),"- -")</f>
        <v>- -</v>
      </c>
      <c r="F31" s="246" t="str">
        <f t="shared" ref="F31:F34" si="32">IFERROR(ROUND(AA31*$U31/$Z31,5),"- -")</f>
        <v>- -</v>
      </c>
      <c r="G31" s="258" t="str">
        <f t="shared" ref="G31:G34" si="33">IFERROR(ROUND(AVERAGE(D31:F31),5),"- -")</f>
        <v>- -</v>
      </c>
      <c r="H31" s="253"/>
      <c r="I31" s="221"/>
      <c r="J31" s="229">
        <f t="shared" si="0"/>
        <v>0</v>
      </c>
      <c r="K31" s="260" t="str">
        <f>IFERROR(ROUND((($M$17*D31+$M$18*D31^2+$M$19*D31^3)),3),"- -")</f>
        <v>- -</v>
      </c>
      <c r="L31" s="260" t="str">
        <f t="shared" ref="L31:L34" si="34">IFERROR(ROUND((($M$17*E31+$M$18*E31^2+$M$19*E31^3)),3),"- -")</f>
        <v>- -</v>
      </c>
      <c r="M31" s="260" t="str">
        <f t="shared" ref="M31:M34" si="35">IFERROR(ROUND((($M$17*F31+$M$18*F31^2+$M$19*F31^3)),3),"- -")</f>
        <v>- -</v>
      </c>
      <c r="N31" s="254" t="str">
        <f t="shared" ref="N31:N34" si="36">IFERROR(ROUND(AVERAGE(K31:M31),3),"- -")</f>
        <v>- -</v>
      </c>
      <c r="O31" s="255"/>
      <c r="P31" s="255"/>
      <c r="Q31" s="255"/>
      <c r="R31" s="255"/>
      <c r="S31" s="221"/>
      <c r="T31" s="250">
        <f>IFERROR('Dash Board'!T15,"- -")</f>
        <v>0</v>
      </c>
      <c r="U31" s="285">
        <f>T31*Software!$K$35</f>
        <v>0</v>
      </c>
      <c r="V31" s="246" t="str">
        <f>Software!F73</f>
        <v>- -</v>
      </c>
      <c r="W31" s="256" t="str">
        <f>Software!J73</f>
        <v>- -</v>
      </c>
      <c r="X31" s="229" t="str">
        <f>Software!F89</f>
        <v>- -</v>
      </c>
      <c r="Y31" s="256" t="str">
        <f>Software!J89</f>
        <v>- -</v>
      </c>
      <c r="Z31" s="229" t="str">
        <f>Software!F105</f>
        <v>- -</v>
      </c>
      <c r="AA31" s="256" t="str">
        <f>Software!J105</f>
        <v>- -</v>
      </c>
      <c r="AB31" s="256" t="str">
        <f t="shared" ref="AB31:AB34" si="37">IFERROR(ROUND(AVERAGE(W31,Y31,AA31),5),"- -")</f>
        <v>- -</v>
      </c>
      <c r="AC31" s="256" t="str">
        <f t="shared" si="12"/>
        <v>- -</v>
      </c>
      <c r="AD31" s="221"/>
      <c r="AE31" s="263">
        <v>0.05</v>
      </c>
      <c r="AF31" s="265" t="e">
        <f t="shared" si="13"/>
        <v>#VALUE!</v>
      </c>
      <c r="AG31" s="265" t="e">
        <f t="shared" si="14"/>
        <v>#VALUE!</v>
      </c>
      <c r="AH31" s="266">
        <f t="shared" si="15"/>
        <v>5.4999999999999997E-3</v>
      </c>
      <c r="AI31" s="265">
        <f t="shared" si="16"/>
        <v>0</v>
      </c>
      <c r="AJ31" s="265">
        <f t="shared" si="29"/>
        <v>2.8867513459481291E-2</v>
      </c>
      <c r="AK31" s="265">
        <f t="shared" si="17"/>
        <v>2.9386788414750828E-2</v>
      </c>
      <c r="AL31" s="265" t="e">
        <f t="shared" si="18"/>
        <v>#VALUE!</v>
      </c>
      <c r="AM31" s="262"/>
      <c r="AN31" s="262">
        <v>2</v>
      </c>
      <c r="AO31" s="266" t="e">
        <f t="shared" si="20"/>
        <v>#VALUE!</v>
      </c>
      <c r="AP31" s="220"/>
      <c r="AQ31" s="257" t="str">
        <f t="shared" ref="AQ31:AQ34" si="38">IFERROR(((J31-N31)/N31)*100,"- -")</f>
        <v>- -</v>
      </c>
      <c r="AR31" s="276" t="str">
        <f t="shared" ref="AR31:AR34" si="39">IFERROR((MAX(K31,L31,M31)-MIN(K31,L31,M31))/N31*100,"- -")</f>
        <v>- -</v>
      </c>
      <c r="AS31" s="276">
        <f t="shared" si="22"/>
        <v>0</v>
      </c>
      <c r="AU31" s="284" t="e">
        <f t="shared" si="23"/>
        <v>#VALUE!</v>
      </c>
      <c r="AV31" s="284" t="str">
        <f t="shared" si="24"/>
        <v>-</v>
      </c>
      <c r="AW31" s="284">
        <f t="shared" si="25"/>
        <v>0.5</v>
      </c>
      <c r="AX31" s="284" t="e">
        <f t="shared" si="26"/>
        <v>#DIV/0!</v>
      </c>
      <c r="AY31" s="284">
        <f t="shared" si="27"/>
        <v>0.5</v>
      </c>
      <c r="AZ31" s="284" t="e">
        <f t="shared" si="28"/>
        <v>#VALUE!</v>
      </c>
    </row>
    <row r="32" spans="1:52" s="216" customFormat="1" ht="15.75" x14ac:dyDescent="0.25">
      <c r="A32" s="217"/>
      <c r="B32" s="217"/>
      <c r="C32" s="257">
        <f t="shared" si="3"/>
        <v>0</v>
      </c>
      <c r="D32" s="246" t="str">
        <f t="shared" si="30"/>
        <v>- -</v>
      </c>
      <c r="E32" s="246" t="str">
        <f t="shared" si="31"/>
        <v>- -</v>
      </c>
      <c r="F32" s="246" t="str">
        <f t="shared" si="32"/>
        <v>- -</v>
      </c>
      <c r="G32" s="258" t="str">
        <f t="shared" si="33"/>
        <v>- -</v>
      </c>
      <c r="H32" s="253"/>
      <c r="I32" s="221"/>
      <c r="J32" s="229">
        <f t="shared" si="0"/>
        <v>0</v>
      </c>
      <c r="K32" s="260" t="str">
        <f>IFERROR(ROUND((($M$17*D32+$M$18*D32^2+$M$19*D32^3)),3),"- -")</f>
        <v>- -</v>
      </c>
      <c r="L32" s="260" t="str">
        <f t="shared" si="34"/>
        <v>- -</v>
      </c>
      <c r="M32" s="260" t="str">
        <f t="shared" si="35"/>
        <v>- -</v>
      </c>
      <c r="N32" s="254" t="str">
        <f t="shared" si="36"/>
        <v>- -</v>
      </c>
      <c r="O32" s="255"/>
      <c r="P32" s="255"/>
      <c r="Q32" s="255"/>
      <c r="R32" s="255"/>
      <c r="S32" s="221"/>
      <c r="T32" s="250">
        <f>IFERROR('Dash Board'!T16,"- -")</f>
        <v>0</v>
      </c>
      <c r="U32" s="285">
        <f>T32*Software!$K$35</f>
        <v>0</v>
      </c>
      <c r="V32" s="246" t="str">
        <f>Software!F74</f>
        <v>- -</v>
      </c>
      <c r="W32" s="256" t="str">
        <f>Software!J74</f>
        <v>- -</v>
      </c>
      <c r="X32" s="229" t="str">
        <f>Software!F90</f>
        <v>- -</v>
      </c>
      <c r="Y32" s="256" t="str">
        <f>Software!J90</f>
        <v>- -</v>
      </c>
      <c r="Z32" s="229" t="str">
        <f>Software!F106</f>
        <v>- -</v>
      </c>
      <c r="AA32" s="256" t="str">
        <f>Software!J106</f>
        <v>- -</v>
      </c>
      <c r="AB32" s="256" t="str">
        <f t="shared" si="37"/>
        <v>- -</v>
      </c>
      <c r="AC32" s="256" t="str">
        <f t="shared" si="12"/>
        <v>- -</v>
      </c>
      <c r="AD32" s="221"/>
      <c r="AE32" s="220"/>
      <c r="AF32" s="265" t="e">
        <f t="shared" si="13"/>
        <v>#VALUE!</v>
      </c>
      <c r="AG32" s="265" t="e">
        <f t="shared" si="14"/>
        <v>#VALUE!</v>
      </c>
      <c r="AH32" s="266">
        <f t="shared" si="15"/>
        <v>5.4999999999999997E-3</v>
      </c>
      <c r="AI32" s="265">
        <f t="shared" si="16"/>
        <v>0</v>
      </c>
      <c r="AJ32" s="265">
        <f t="shared" si="29"/>
        <v>2.8867513459481291E-2</v>
      </c>
      <c r="AK32" s="265">
        <f t="shared" si="17"/>
        <v>2.9386788414750828E-2</v>
      </c>
      <c r="AL32" s="265" t="e">
        <f t="shared" si="18"/>
        <v>#VALUE!</v>
      </c>
      <c r="AM32" s="262"/>
      <c r="AN32" s="262">
        <v>2</v>
      </c>
      <c r="AO32" s="266" t="e">
        <f t="shared" si="20"/>
        <v>#VALUE!</v>
      </c>
      <c r="AP32" s="220"/>
      <c r="AQ32" s="257" t="str">
        <f t="shared" si="38"/>
        <v>- -</v>
      </c>
      <c r="AR32" s="276" t="str">
        <f t="shared" si="39"/>
        <v>- -</v>
      </c>
      <c r="AS32" s="276">
        <f t="shared" si="22"/>
        <v>0</v>
      </c>
      <c r="AU32" s="284" t="e">
        <f t="shared" si="23"/>
        <v>#VALUE!</v>
      </c>
      <c r="AV32" s="284" t="str">
        <f t="shared" si="24"/>
        <v>-</v>
      </c>
      <c r="AW32" s="284">
        <f t="shared" si="25"/>
        <v>0.5</v>
      </c>
      <c r="AX32" s="284" t="e">
        <f t="shared" si="26"/>
        <v>#DIV/0!</v>
      </c>
      <c r="AY32" s="284">
        <f t="shared" si="27"/>
        <v>0.5</v>
      </c>
      <c r="AZ32" s="284" t="e">
        <f t="shared" si="28"/>
        <v>#VALUE!</v>
      </c>
    </row>
    <row r="33" spans="1:52" s="216" customFormat="1" ht="15.75" x14ac:dyDescent="0.25">
      <c r="A33" s="217"/>
      <c r="B33" s="217"/>
      <c r="C33" s="257">
        <f t="shared" si="3"/>
        <v>0</v>
      </c>
      <c r="D33" s="246" t="str">
        <f t="shared" si="30"/>
        <v>- -</v>
      </c>
      <c r="E33" s="246" t="str">
        <f t="shared" si="31"/>
        <v>- -</v>
      </c>
      <c r="F33" s="246" t="str">
        <f t="shared" si="32"/>
        <v>- -</v>
      </c>
      <c r="G33" s="258" t="str">
        <f t="shared" si="33"/>
        <v>- -</v>
      </c>
      <c r="H33" s="253"/>
      <c r="I33" s="221"/>
      <c r="J33" s="229">
        <f t="shared" si="0"/>
        <v>0</v>
      </c>
      <c r="K33" s="260" t="str">
        <f t="shared" ref="K33:K34" si="40">IFERROR(ROUND((($M$17*D33+$M$18*D33^2+$M$19*D33^3)),3),"- -")</f>
        <v>- -</v>
      </c>
      <c r="L33" s="260" t="str">
        <f t="shared" si="34"/>
        <v>- -</v>
      </c>
      <c r="M33" s="260" t="str">
        <f t="shared" si="35"/>
        <v>- -</v>
      </c>
      <c r="N33" s="254" t="str">
        <f t="shared" si="36"/>
        <v>- -</v>
      </c>
      <c r="O33" s="255"/>
      <c r="P33" s="255"/>
      <c r="Q33" s="255"/>
      <c r="R33" s="255"/>
      <c r="S33" s="221"/>
      <c r="T33" s="250">
        <f>IFERROR('Dash Board'!T17,"- -")</f>
        <v>0</v>
      </c>
      <c r="U33" s="285">
        <f>T33*Software!$K$35</f>
        <v>0</v>
      </c>
      <c r="V33" s="246" t="str">
        <f>Software!F75</f>
        <v>- -</v>
      </c>
      <c r="W33" s="256" t="str">
        <f>Software!J75</f>
        <v>- -</v>
      </c>
      <c r="X33" s="229" t="str">
        <f>Software!F91</f>
        <v>- -</v>
      </c>
      <c r="Y33" s="256" t="str">
        <f>Software!J91</f>
        <v>- -</v>
      </c>
      <c r="Z33" s="229" t="str">
        <f>Software!F107</f>
        <v>- -</v>
      </c>
      <c r="AA33" s="256" t="str">
        <f>Software!J107</f>
        <v>- -</v>
      </c>
      <c r="AB33" s="256" t="str">
        <f t="shared" si="37"/>
        <v>- -</v>
      </c>
      <c r="AC33" s="256" t="str">
        <f t="shared" si="12"/>
        <v>- -</v>
      </c>
      <c r="AD33" s="221"/>
      <c r="AF33" s="265" t="e">
        <f t="shared" si="13"/>
        <v>#VALUE!</v>
      </c>
      <c r="AG33" s="265" t="e">
        <f t="shared" si="14"/>
        <v>#VALUE!</v>
      </c>
      <c r="AH33" s="266">
        <f t="shared" si="15"/>
        <v>5.4999999999999997E-3</v>
      </c>
      <c r="AI33" s="265">
        <f t="shared" si="16"/>
        <v>0</v>
      </c>
      <c r="AJ33" s="265">
        <f t="shared" si="29"/>
        <v>2.8867513459481291E-2</v>
      </c>
      <c r="AK33" s="265">
        <f t="shared" si="17"/>
        <v>2.9386788414750828E-2</v>
      </c>
      <c r="AL33" s="265" t="e">
        <f t="shared" si="18"/>
        <v>#VALUE!</v>
      </c>
      <c r="AM33" s="262"/>
      <c r="AN33" s="262">
        <v>2</v>
      </c>
      <c r="AO33" s="266" t="e">
        <f t="shared" si="20"/>
        <v>#VALUE!</v>
      </c>
      <c r="AQ33" s="257" t="str">
        <f t="shared" si="38"/>
        <v>- -</v>
      </c>
      <c r="AR33" s="276" t="str">
        <f t="shared" si="39"/>
        <v>- -</v>
      </c>
      <c r="AS33" s="276">
        <f t="shared" si="22"/>
        <v>0</v>
      </c>
      <c r="AU33" s="284" t="e">
        <f t="shared" si="23"/>
        <v>#VALUE!</v>
      </c>
      <c r="AV33" s="284" t="str">
        <f t="shared" si="24"/>
        <v>-</v>
      </c>
      <c r="AW33" s="284">
        <f t="shared" si="25"/>
        <v>0.5</v>
      </c>
      <c r="AX33" s="284" t="e">
        <f t="shared" si="26"/>
        <v>#DIV/0!</v>
      </c>
      <c r="AY33" s="284">
        <f t="shared" si="27"/>
        <v>0.5</v>
      </c>
      <c r="AZ33" s="284" t="e">
        <f t="shared" si="28"/>
        <v>#VALUE!</v>
      </c>
    </row>
    <row r="34" spans="1:52" s="216" customFormat="1" ht="15.75" x14ac:dyDescent="0.25">
      <c r="A34" s="217"/>
      <c r="B34" s="217"/>
      <c r="C34" s="257">
        <f t="shared" si="3"/>
        <v>0</v>
      </c>
      <c r="D34" s="246" t="str">
        <f t="shared" si="30"/>
        <v>- -</v>
      </c>
      <c r="E34" s="246" t="str">
        <f t="shared" si="31"/>
        <v>- -</v>
      </c>
      <c r="F34" s="246" t="str">
        <f t="shared" si="32"/>
        <v>- -</v>
      </c>
      <c r="G34" s="258" t="str">
        <f t="shared" si="33"/>
        <v>- -</v>
      </c>
      <c r="H34" s="253"/>
      <c r="I34" s="221"/>
      <c r="J34" s="229">
        <f t="shared" si="0"/>
        <v>0</v>
      </c>
      <c r="K34" s="260" t="str">
        <f t="shared" si="40"/>
        <v>- -</v>
      </c>
      <c r="L34" s="260" t="str">
        <f t="shared" si="34"/>
        <v>- -</v>
      </c>
      <c r="M34" s="260" t="str">
        <f t="shared" si="35"/>
        <v>- -</v>
      </c>
      <c r="N34" s="254" t="str">
        <f t="shared" si="36"/>
        <v>- -</v>
      </c>
      <c r="O34" s="255"/>
      <c r="P34" s="255"/>
      <c r="Q34" s="255"/>
      <c r="R34" s="255"/>
      <c r="S34" s="221"/>
      <c r="T34" s="250">
        <f>IFERROR('Dash Board'!T18,"- -")</f>
        <v>0</v>
      </c>
      <c r="U34" s="285">
        <f>T34*Software!$K$35</f>
        <v>0</v>
      </c>
      <c r="V34" s="246" t="str">
        <f>Software!F76</f>
        <v>- -</v>
      </c>
      <c r="W34" s="256" t="str">
        <f>Software!J76</f>
        <v>- -</v>
      </c>
      <c r="X34" s="229" t="str">
        <f>Software!F92</f>
        <v>- -</v>
      </c>
      <c r="Y34" s="256" t="str">
        <f>Software!J92</f>
        <v>- -</v>
      </c>
      <c r="Z34" s="229" t="str">
        <f>Software!F108</f>
        <v>- -</v>
      </c>
      <c r="AA34" s="256" t="str">
        <f>Software!J108</f>
        <v>- -</v>
      </c>
      <c r="AB34" s="256" t="str">
        <f t="shared" si="37"/>
        <v>- -</v>
      </c>
      <c r="AC34" s="256" t="str">
        <f t="shared" si="12"/>
        <v>- -</v>
      </c>
      <c r="AD34" s="221"/>
      <c r="AF34" s="265" t="e">
        <f t="shared" si="13"/>
        <v>#VALUE!</v>
      </c>
      <c r="AG34" s="265" t="e">
        <f t="shared" si="14"/>
        <v>#VALUE!</v>
      </c>
      <c r="AH34" s="266">
        <f t="shared" si="15"/>
        <v>5.4999999999999997E-3</v>
      </c>
      <c r="AI34" s="265">
        <f t="shared" si="16"/>
        <v>0</v>
      </c>
      <c r="AJ34" s="265">
        <f t="shared" si="29"/>
        <v>2.8867513459481291E-2</v>
      </c>
      <c r="AK34" s="265">
        <f t="shared" si="17"/>
        <v>2.9386788414750828E-2</v>
      </c>
      <c r="AL34" s="265" t="e">
        <f t="shared" si="18"/>
        <v>#VALUE!</v>
      </c>
      <c r="AM34" s="262"/>
      <c r="AN34" s="262">
        <v>2</v>
      </c>
      <c r="AO34" s="266" t="e">
        <f t="shared" si="20"/>
        <v>#VALUE!</v>
      </c>
      <c r="AQ34" s="257" t="str">
        <f t="shared" si="38"/>
        <v>- -</v>
      </c>
      <c r="AR34" s="276" t="str">
        <f t="shared" si="39"/>
        <v>- -</v>
      </c>
      <c r="AS34" s="276">
        <f t="shared" si="22"/>
        <v>0</v>
      </c>
      <c r="AU34" s="284" t="e">
        <f t="shared" si="23"/>
        <v>#VALUE!</v>
      </c>
      <c r="AV34" s="284" t="str">
        <f t="shared" si="24"/>
        <v>-</v>
      </c>
      <c r="AW34" s="284">
        <f t="shared" si="25"/>
        <v>0.5</v>
      </c>
      <c r="AX34" s="284" t="e">
        <f t="shared" si="26"/>
        <v>#DIV/0!</v>
      </c>
      <c r="AY34" s="284">
        <f t="shared" si="27"/>
        <v>0.5</v>
      </c>
      <c r="AZ34" s="284" t="e">
        <f t="shared" si="28"/>
        <v>#VALUE!</v>
      </c>
    </row>
    <row r="35" spans="1:52" s="216" customFormat="1" ht="15.75" x14ac:dyDescent="0.25">
      <c r="A35" s="217"/>
      <c r="B35" s="217"/>
      <c r="C35" s="250">
        <v>0</v>
      </c>
      <c r="D35" s="251">
        <v>0</v>
      </c>
      <c r="E35" s="251">
        <v>0</v>
      </c>
      <c r="F35" s="251">
        <v>0</v>
      </c>
      <c r="G35" s="258">
        <f>ROUND((M17*Z24+M18*Z24^2)*1000,0)</f>
        <v>0</v>
      </c>
      <c r="H35" s="237"/>
      <c r="I35" s="221"/>
      <c r="J35" s="229">
        <f t="shared" si="0"/>
        <v>0</v>
      </c>
      <c r="K35" s="229">
        <v>0</v>
      </c>
      <c r="L35" s="229">
        <f t="shared" ref="L35" si="41">ROUND((($M$17*E35+$M$18*E35^2+$M$19*E35^3)),3)</f>
        <v>0</v>
      </c>
      <c r="M35" s="229">
        <f t="shared" ref="M35" si="42">ROUND((($M$17*F35+$M$18*F35^2+$M$19*F35^3)),3)</f>
        <v>0</v>
      </c>
      <c r="N35" s="254">
        <v>0</v>
      </c>
      <c r="O35" s="255"/>
      <c r="P35" s="255"/>
      <c r="Q35" s="255"/>
      <c r="R35" s="255"/>
      <c r="S35" s="221"/>
      <c r="T35" s="250">
        <f>IFERROR('Dash Board'!T19,"- -")</f>
        <v>0</v>
      </c>
      <c r="U35" s="285">
        <f>T35*Software!$K$35</f>
        <v>0</v>
      </c>
      <c r="V35" s="246">
        <f>Software!F77</f>
        <v>0</v>
      </c>
      <c r="W35" s="256">
        <f>Software!J77</f>
        <v>-6.4200000000000368E-4</v>
      </c>
      <c r="X35" s="229">
        <f>Software!F93</f>
        <v>0</v>
      </c>
      <c r="Y35" s="256">
        <f>Software!J93</f>
        <v>-6.4200000000000368E-4</v>
      </c>
      <c r="Z35" s="229">
        <f>Software!F109</f>
        <v>0</v>
      </c>
      <c r="AA35" s="256">
        <f>Software!J109</f>
        <v>-6.4200000000000368E-4</v>
      </c>
      <c r="AB35" s="256">
        <f t="shared" ref="AB35" si="43">ROUND(AVERAGE(W35,Y35,AA35),5)</f>
        <v>-6.4000000000000005E-4</v>
      </c>
      <c r="AC35" s="256">
        <f t="shared" si="12"/>
        <v>0</v>
      </c>
      <c r="AD35" s="221"/>
    </row>
    <row r="36" spans="1:52" s="210" customFormat="1" ht="15.75" x14ac:dyDescent="0.25">
      <c r="A36" s="41"/>
      <c r="B36" s="41"/>
      <c r="C36" s="41"/>
      <c r="D36" s="41"/>
      <c r="E36" s="41"/>
      <c r="F36" s="41"/>
      <c r="G36" s="41"/>
      <c r="H36" s="41"/>
      <c r="I36" s="41"/>
      <c r="J36" s="41"/>
      <c r="K36" s="41"/>
      <c r="L36" s="41"/>
      <c r="M36" s="41"/>
      <c r="N36" s="41"/>
      <c r="O36" s="41"/>
      <c r="P36" s="41"/>
      <c r="Q36" s="41"/>
      <c r="R36" s="41"/>
      <c r="S36" s="41"/>
      <c r="T36" s="41" t="s">
        <v>256</v>
      </c>
      <c r="U36" s="273" t="s">
        <v>257</v>
      </c>
      <c r="V36" s="274">
        <f>MAX(V35,X35,Z35)</f>
        <v>0</v>
      </c>
      <c r="W36" s="41"/>
      <c r="X36" s="41"/>
      <c r="Y36" s="41"/>
      <c r="Z36" s="41"/>
      <c r="AA36" s="41"/>
      <c r="AB36" s="259"/>
      <c r="AC36" s="259"/>
      <c r="AD36" s="259"/>
    </row>
    <row r="37" spans="1:52" s="210" customFormat="1" ht="15.75"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259"/>
      <c r="AC37" s="259"/>
      <c r="AD37" s="259"/>
      <c r="AF37" s="210">
        <f>(STDEV(K25:M25)/SQRT(3))/1</f>
        <v>1.0048591735576159E-14</v>
      </c>
    </row>
    <row r="38" spans="1:52" s="210" customFormat="1" ht="15.75"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259"/>
      <c r="AC38" s="259"/>
      <c r="AD38" s="259"/>
    </row>
    <row r="39" spans="1:52" s="210" customFormat="1" ht="15.75" customHeight="1" x14ac:dyDescent="0.25">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259"/>
      <c r="AC39" s="259"/>
      <c r="AD39" s="259"/>
    </row>
    <row r="40" spans="1:52" s="210" customFormat="1" ht="15.75" x14ac:dyDescent="0.25">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259"/>
      <c r="AC40" s="259"/>
      <c r="AD40" s="259"/>
    </row>
    <row r="41" spans="1:52" s="210" customFormat="1" ht="15.75" x14ac:dyDescent="0.2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259"/>
      <c r="AC41" s="259"/>
      <c r="AD41" s="259"/>
    </row>
    <row r="42" spans="1:52" s="210" customFormat="1" ht="15.75" x14ac:dyDescent="0.2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259"/>
      <c r="AC42" s="259"/>
      <c r="AD42" s="259"/>
    </row>
    <row r="43" spans="1:52" s="210" customFormat="1" ht="15.75"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259"/>
      <c r="AC43" s="259"/>
      <c r="AD43" s="259"/>
    </row>
    <row r="44" spans="1:52" s="210" customFormat="1" ht="15.75"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259"/>
      <c r="AC44" s="259"/>
      <c r="AD44" s="259"/>
    </row>
    <row r="45" spans="1:52" s="210" customFormat="1" ht="15.75"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259"/>
      <c r="AC45" s="259"/>
      <c r="AD45" s="259"/>
    </row>
    <row r="46" spans="1:52" s="210" customFormat="1" ht="15.75" x14ac:dyDescent="0.2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259"/>
      <c r="AC46" s="259"/>
      <c r="AD46" s="259"/>
    </row>
    <row r="47" spans="1:52" s="210" customFormat="1" ht="15.75" x14ac:dyDescent="0.2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259"/>
      <c r="AC47" s="259"/>
      <c r="AD47" s="259"/>
    </row>
    <row r="48" spans="1:52" s="210" customFormat="1" ht="15.75" x14ac:dyDescent="0.2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259"/>
      <c r="AC48" s="259"/>
      <c r="AD48" s="259"/>
    </row>
    <row r="49" spans="1:30" s="210" customFormat="1" ht="15.75"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259"/>
      <c r="AC49" s="259"/>
      <c r="AD49" s="259"/>
    </row>
    <row r="50" spans="1:30" s="210" customFormat="1" ht="15.75"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259"/>
      <c r="AC50" s="259"/>
      <c r="AD50" s="259"/>
    </row>
    <row r="51" spans="1:30" s="210" customFormat="1" ht="15.75" x14ac:dyDescent="0.2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259"/>
      <c r="AC51" s="259"/>
      <c r="AD51" s="259"/>
    </row>
    <row r="52" spans="1:30" s="210" customFormat="1" x14ac:dyDescent="0.2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spans="1:30" s="210" customFormat="1"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spans="1:30" s="210" customFormat="1"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spans="1:30" s="210" customFormat="1"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spans="1:30" s="210" customFormat="1" x14ac:dyDescent="0.2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spans="1:30" s="210" customFormat="1" x14ac:dyDescent="0.2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spans="1:30" s="210" customFormat="1" x14ac:dyDescent="0.2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spans="1:30" s="210" customFormat="1" x14ac:dyDescent="0.2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spans="1:30" s="210" customFormat="1" x14ac:dyDescent="0.2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spans="1:30" s="210" customFormat="1"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spans="1:30" s="210" customFormat="1"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spans="1:30" s="210" customFormat="1"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spans="1:30" s="210" customFormat="1"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spans="1:30" s="210" customFormat="1"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spans="1:30" s="210" customFormat="1"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spans="1:30" s="210" customFormat="1"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spans="1:30" s="210" customFormat="1"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spans="1:30" s="210" customFormat="1"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spans="1:30" s="210"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1"/>
      <c r="AC70" s="41"/>
      <c r="AD70" s="41"/>
    </row>
  </sheetData>
  <mergeCells count="55">
    <mergeCell ref="Y22:Y23"/>
    <mergeCell ref="Z22:Z23"/>
    <mergeCell ref="D22:G22"/>
    <mergeCell ref="C22:C23"/>
    <mergeCell ref="J22:J23"/>
    <mergeCell ref="T22:U22"/>
    <mergeCell ref="K22:N22"/>
    <mergeCell ref="V22:V23"/>
    <mergeCell ref="W22:W23"/>
    <mergeCell ref="X22:X23"/>
    <mergeCell ref="AB22:AB23"/>
    <mergeCell ref="AO20:AO23"/>
    <mergeCell ref="AE22:AE23"/>
    <mergeCell ref="AF20:AF23"/>
    <mergeCell ref="AK20:AK23"/>
    <mergeCell ref="AL20:AL23"/>
    <mergeCell ref="AM20:AM23"/>
    <mergeCell ref="AN20:AN23"/>
    <mergeCell ref="A6:B6"/>
    <mergeCell ref="A7:B7"/>
    <mergeCell ref="A8:B8"/>
    <mergeCell ref="A9:B9"/>
    <mergeCell ref="A10:B10"/>
    <mergeCell ref="C8:D8"/>
    <mergeCell ref="AE25:AE26"/>
    <mergeCell ref="A1:Q1"/>
    <mergeCell ref="A2:Q2"/>
    <mergeCell ref="A3:Q3"/>
    <mergeCell ref="A4:Q4"/>
    <mergeCell ref="AE18:AE20"/>
    <mergeCell ref="S19:S20"/>
    <mergeCell ref="A12:B12"/>
    <mergeCell ref="M17:N17"/>
    <mergeCell ref="M18:N18"/>
    <mergeCell ref="L16:N16"/>
    <mergeCell ref="A13:B13"/>
    <mergeCell ref="A11:B11"/>
    <mergeCell ref="R19:R20"/>
    <mergeCell ref="AC22:AC23"/>
    <mergeCell ref="M19:N19"/>
    <mergeCell ref="AZ20:AZ23"/>
    <mergeCell ref="AH18:AJ19"/>
    <mergeCell ref="AG20:AG23"/>
    <mergeCell ref="AH20:AH23"/>
    <mergeCell ref="AI20:AI23"/>
    <mergeCell ref="AJ20:AJ23"/>
    <mergeCell ref="AQ20:AQ23"/>
    <mergeCell ref="AR20:AR23"/>
    <mergeCell ref="AS20:AS23"/>
    <mergeCell ref="AU20:AU23"/>
    <mergeCell ref="AV20:AV23"/>
    <mergeCell ref="AW20:AW23"/>
    <mergeCell ref="AX20:AX23"/>
    <mergeCell ref="AY20:AY23"/>
    <mergeCell ref="AA22:AA23"/>
  </mergeCells>
  <conditionalFormatting sqref="P22:P23">
    <cfRule type="expression" dxfId="3" priority="27">
      <formula>ABS($AF$20)&gt;3</formula>
    </cfRule>
  </conditionalFormatting>
  <conditionalFormatting sqref="R22:R23">
    <cfRule type="expression" dxfId="2" priority="28">
      <formula>ABS($AH$20)&gt;3</formula>
    </cfRule>
  </conditionalFormatting>
  <pageMargins left="0.23622047244094491" right="0.23622047244094491" top="0.59055118110236227" bottom="0.19685039370078741" header="0.31496062992125984" footer="0.31496062992125984"/>
  <pageSetup paperSize="9" orientation="landscape" r:id="rId1"/>
  <ignoredErrors>
    <ignoredError sqref="C25"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3:O13"/>
  <sheetViews>
    <sheetView zoomScale="79" zoomScaleNormal="79" workbookViewId="0">
      <selection activeCell="F14" sqref="F14"/>
    </sheetView>
  </sheetViews>
  <sheetFormatPr defaultColWidth="9.140625" defaultRowHeight="18.75" x14ac:dyDescent="0.3"/>
  <cols>
    <col min="1" max="1" width="9.140625" style="29" customWidth="1"/>
    <col min="2" max="2" width="33.140625" style="29" customWidth="1"/>
    <col min="3" max="3" width="17.140625" style="29" customWidth="1"/>
    <col min="4" max="4" width="17.85546875" style="32" customWidth="1"/>
    <col min="5" max="5" width="24.140625" style="32" customWidth="1"/>
    <col min="6" max="6" width="22" style="29" bestFit="1" customWidth="1"/>
    <col min="7" max="10" width="18.28515625" style="32" customWidth="1"/>
    <col min="11" max="14" width="18.28515625" style="29" customWidth="1"/>
    <col min="15" max="15" width="21.7109375" style="29" bestFit="1" customWidth="1"/>
    <col min="16" max="16384" width="9.140625" style="29"/>
  </cols>
  <sheetData>
    <row r="3" spans="2:15" ht="37.5" x14ac:dyDescent="0.3">
      <c r="B3" s="30" t="s">
        <v>60</v>
      </c>
      <c r="C3" s="30" t="s">
        <v>49</v>
      </c>
      <c r="D3" s="30" t="s">
        <v>61</v>
      </c>
      <c r="E3" s="30" t="s">
        <v>74</v>
      </c>
      <c r="F3" s="30" t="s">
        <v>75</v>
      </c>
      <c r="G3" s="30" t="s">
        <v>77</v>
      </c>
      <c r="H3" s="30" t="s">
        <v>78</v>
      </c>
      <c r="I3" s="30" t="s">
        <v>79</v>
      </c>
      <c r="J3" s="30" t="s">
        <v>80</v>
      </c>
      <c r="K3" s="30" t="s">
        <v>81</v>
      </c>
      <c r="L3" s="30" t="s">
        <v>82</v>
      </c>
      <c r="M3" s="30" t="s">
        <v>83</v>
      </c>
      <c r="N3" s="30" t="s">
        <v>84</v>
      </c>
      <c r="O3" s="30" t="s">
        <v>76</v>
      </c>
    </row>
    <row r="4" spans="2:15" s="33" customFormat="1" ht="26.25" customHeight="1" x14ac:dyDescent="0.25">
      <c r="B4" s="31" t="s">
        <v>62</v>
      </c>
      <c r="C4" s="31" t="s">
        <v>121</v>
      </c>
      <c r="D4" s="31" t="s">
        <v>69</v>
      </c>
      <c r="E4" s="30" t="s">
        <v>87</v>
      </c>
      <c r="F4" s="34">
        <v>43153</v>
      </c>
      <c r="G4" s="35">
        <v>978.33889999999997</v>
      </c>
      <c r="H4" s="35">
        <v>35.048180000000002</v>
      </c>
      <c r="I4" s="35">
        <v>-7.9401900000000003</v>
      </c>
      <c r="J4" s="36">
        <v>1.375</v>
      </c>
      <c r="K4" s="39" t="s">
        <v>89</v>
      </c>
      <c r="L4" s="39" t="s">
        <v>89</v>
      </c>
      <c r="M4" s="39" t="s">
        <v>89</v>
      </c>
      <c r="N4" s="39" t="s">
        <v>89</v>
      </c>
      <c r="O4" s="34">
        <f>DATE(YEAR(Table1[[#This Row],[Calibration Date]])+3, MONTH(Table1[[#This Row],[Calibration Date]]),DAY(Table1[[#This Row],[Calibration Date]]))</f>
        <v>44249</v>
      </c>
    </row>
    <row r="5" spans="2:15" s="33" customFormat="1" ht="26.25" customHeight="1" x14ac:dyDescent="0.25">
      <c r="B5" s="31" t="s">
        <v>63</v>
      </c>
      <c r="C5" s="31" t="s">
        <v>122</v>
      </c>
      <c r="D5" s="31">
        <v>50036</v>
      </c>
      <c r="E5" s="30" t="s">
        <v>88</v>
      </c>
      <c r="F5" s="34">
        <v>43161</v>
      </c>
      <c r="G5" s="35">
        <v>-247.81010000000001</v>
      </c>
      <c r="H5" s="35">
        <v>0.47743819999999998</v>
      </c>
      <c r="I5" s="35">
        <v>-1.014075E-2</v>
      </c>
      <c r="J5" s="36">
        <v>7.0000000000000007E-2</v>
      </c>
      <c r="K5" s="39" t="s">
        <v>89</v>
      </c>
      <c r="L5" s="39" t="s">
        <v>89</v>
      </c>
      <c r="M5" s="39" t="s">
        <v>89</v>
      </c>
      <c r="N5" s="39" t="s">
        <v>89</v>
      </c>
      <c r="O5" s="34">
        <f>DATE(YEAR(Table1[[#This Row],[Calibration Date]])+3, MONTH(Table1[[#This Row],[Calibration Date]]),DAY(Table1[[#This Row],[Calibration Date]]))</f>
        <v>44257</v>
      </c>
    </row>
    <row r="6" spans="2:15" s="33" customFormat="1" ht="26.25" customHeight="1" x14ac:dyDescent="0.25">
      <c r="B6" s="31" t="s">
        <v>64</v>
      </c>
      <c r="C6" s="31" t="s">
        <v>123</v>
      </c>
      <c r="D6" s="31" t="s">
        <v>70</v>
      </c>
      <c r="E6" s="30" t="s">
        <v>90</v>
      </c>
      <c r="F6" s="34">
        <v>43161</v>
      </c>
      <c r="G6" s="35">
        <v>4.9026319999999997</v>
      </c>
      <c r="H6" s="35">
        <v>-9.3075079999999999E-4</v>
      </c>
      <c r="I6" s="35">
        <v>-6.3550709999999995E-5</v>
      </c>
      <c r="J6" s="36">
        <v>1.0999999999999999E-2</v>
      </c>
      <c r="K6" s="37">
        <v>-4.9022620000000003</v>
      </c>
      <c r="L6" s="37">
        <v>4.1062729999999999E-4</v>
      </c>
      <c r="M6" s="37">
        <v>-1.682559E-4</v>
      </c>
      <c r="N6" s="38">
        <v>1.2E-2</v>
      </c>
      <c r="O6" s="34">
        <f>DATE(YEAR(Table1[[#This Row],[Calibration Date]])+3, MONTH(Table1[[#This Row],[Calibration Date]]),DAY(Table1[[#This Row],[Calibration Date]]))</f>
        <v>44257</v>
      </c>
    </row>
    <row r="7" spans="2:15" s="33" customFormat="1" ht="26.25" customHeight="1" x14ac:dyDescent="0.25">
      <c r="B7" s="31" t="s">
        <v>65</v>
      </c>
      <c r="C7" s="31" t="s">
        <v>51</v>
      </c>
      <c r="D7" s="31" t="s">
        <v>71</v>
      </c>
      <c r="E7" s="30" t="s">
        <v>85</v>
      </c>
      <c r="F7" s="34">
        <v>43161</v>
      </c>
      <c r="G7" s="35">
        <v>2.4495330000000002</v>
      </c>
      <c r="H7" s="35">
        <v>3.2710969999999998E-4</v>
      </c>
      <c r="I7" s="35">
        <v>-1.7387300000000001E-4</v>
      </c>
      <c r="J7" s="36">
        <v>1.7000000000000001E-2</v>
      </c>
      <c r="K7" s="37">
        <v>-2.4503520000000001</v>
      </c>
      <c r="L7" s="37">
        <v>-3.1490629999999999E-4</v>
      </c>
      <c r="M7" s="37">
        <v>-9.9355620000000003E-5</v>
      </c>
      <c r="N7" s="38">
        <v>1.9E-2</v>
      </c>
      <c r="O7" s="34">
        <f>DATE(YEAR(Table1[[#This Row],[Calibration Date]])+3, MONTH(Table1[[#This Row],[Calibration Date]]),DAY(Table1[[#This Row],[Calibration Date]]))</f>
        <v>44257</v>
      </c>
    </row>
    <row r="8" spans="2:15" s="33" customFormat="1" ht="26.25" customHeight="1" x14ac:dyDescent="0.25">
      <c r="B8" s="31" t="s">
        <v>66</v>
      </c>
      <c r="C8" s="31" t="s">
        <v>124</v>
      </c>
      <c r="D8" s="31">
        <v>151730166</v>
      </c>
      <c r="E8" s="30" t="s">
        <v>94</v>
      </c>
      <c r="F8" s="34">
        <v>42538</v>
      </c>
      <c r="G8" s="35">
        <v>1000.037</v>
      </c>
      <c r="H8" s="35">
        <v>-9.1009499999999993E-2</v>
      </c>
      <c r="I8" s="35">
        <v>-1.796771E-3</v>
      </c>
      <c r="J8" s="36">
        <v>2.4E-2</v>
      </c>
      <c r="K8" s="39" t="s">
        <v>89</v>
      </c>
      <c r="L8" s="39" t="s">
        <v>89</v>
      </c>
      <c r="M8" s="39" t="s">
        <v>89</v>
      </c>
      <c r="N8" s="40" t="s">
        <v>89</v>
      </c>
      <c r="O8" s="34">
        <f>DATE(YEAR(Table1[[#This Row],[Calibration Date]])+3, MONTH(Table1[[#This Row],[Calibration Date]]),DAY(Table1[[#This Row],[Calibration Date]]))</f>
        <v>43633</v>
      </c>
    </row>
    <row r="9" spans="2:15" s="33" customFormat="1" ht="26.25" customHeight="1" x14ac:dyDescent="0.25">
      <c r="B9" s="31" t="s">
        <v>130</v>
      </c>
      <c r="C9" s="31" t="s">
        <v>125</v>
      </c>
      <c r="D9" s="31">
        <v>161430192</v>
      </c>
      <c r="E9" s="30" t="s">
        <v>93</v>
      </c>
      <c r="F9" s="34">
        <v>42545</v>
      </c>
      <c r="G9" s="35">
        <v>10.00259</v>
      </c>
      <c r="H9" s="35">
        <v>7.2857110000000005E-4</v>
      </c>
      <c r="I9" s="35">
        <v>-5.8347119999999997E-4</v>
      </c>
      <c r="J9" s="36">
        <v>1.9E-2</v>
      </c>
      <c r="K9" s="37">
        <v>-10.002190000000001</v>
      </c>
      <c r="L9" s="37">
        <v>1.8932689999999999E-3</v>
      </c>
      <c r="M9" s="37">
        <v>4.1544420000000002E-4</v>
      </c>
      <c r="N9" s="38">
        <v>1.2E-2</v>
      </c>
      <c r="O9" s="34">
        <f>DATE(YEAR(Table1[[#This Row],[Calibration Date]])+3, MONTH(Table1[[#This Row],[Calibration Date]]),DAY(Table1[[#This Row],[Calibration Date]]))</f>
        <v>43640</v>
      </c>
    </row>
    <row r="10" spans="2:15" s="33" customFormat="1" ht="26.25" customHeight="1" x14ac:dyDescent="0.25">
      <c r="B10" s="31" t="s">
        <v>131</v>
      </c>
      <c r="C10" s="31" t="s">
        <v>126</v>
      </c>
      <c r="D10" s="31">
        <v>160730020</v>
      </c>
      <c r="E10" s="30" t="s">
        <v>92</v>
      </c>
      <c r="F10" s="34">
        <v>42580</v>
      </c>
      <c r="G10" s="35">
        <v>50.033920000000002</v>
      </c>
      <c r="H10" s="35">
        <v>-1.4762249999999999E-2</v>
      </c>
      <c r="I10" s="35">
        <v>-2.2078620000000001E-3</v>
      </c>
      <c r="J10" s="36">
        <v>4.1000000000000002E-2</v>
      </c>
      <c r="K10" s="37">
        <v>-50.034640000000003</v>
      </c>
      <c r="L10" s="37">
        <v>6.2676579999999997E-3</v>
      </c>
      <c r="M10" s="37">
        <v>2.6656539999999999E-3</v>
      </c>
      <c r="N10" s="38">
        <v>5.2999999999999999E-2</v>
      </c>
      <c r="O10" s="34">
        <f>DATE(YEAR(Table1[[#This Row],[Calibration Date]])+3, MONTH(Table1[[#This Row],[Calibration Date]]),DAY(Table1[[#This Row],[Calibration Date]]))</f>
        <v>43675</v>
      </c>
    </row>
    <row r="11" spans="2:15" s="33" customFormat="1" ht="26.25" customHeight="1" x14ac:dyDescent="0.25">
      <c r="B11" s="31" t="s">
        <v>67</v>
      </c>
      <c r="C11" s="31" t="s">
        <v>127</v>
      </c>
      <c r="D11" s="31" t="s">
        <v>72</v>
      </c>
      <c r="E11" s="30" t="s">
        <v>91</v>
      </c>
      <c r="F11" s="34">
        <v>42576</v>
      </c>
      <c r="G11" s="35">
        <v>90.782889999999995</v>
      </c>
      <c r="H11" s="35">
        <v>-3.2822339999999998E-2</v>
      </c>
      <c r="I11" s="35">
        <v>-4.8755930000000001E-3</v>
      </c>
      <c r="J11" s="36">
        <v>8.1000000000000003E-2</v>
      </c>
      <c r="K11" s="39" t="s">
        <v>89</v>
      </c>
      <c r="L11" s="39" t="s">
        <v>89</v>
      </c>
      <c r="M11" s="39" t="s">
        <v>89</v>
      </c>
      <c r="N11" s="40" t="s">
        <v>89</v>
      </c>
      <c r="O11" s="34">
        <f>DATE(YEAR(Table1[[#This Row],[Calibration Date]])+3, MONTH(Table1[[#This Row],[Calibration Date]]),DAY(Table1[[#This Row],[Calibration Date]]))</f>
        <v>43671</v>
      </c>
    </row>
    <row r="12" spans="2:15" s="33" customFormat="1" ht="26.25" customHeight="1" x14ac:dyDescent="0.25">
      <c r="B12" s="31" t="s">
        <v>68</v>
      </c>
      <c r="C12" s="31" t="s">
        <v>128</v>
      </c>
      <c r="D12" s="31" t="s">
        <v>73</v>
      </c>
      <c r="E12" s="30" t="s">
        <v>86</v>
      </c>
      <c r="F12" s="34">
        <v>43153</v>
      </c>
      <c r="G12" s="35">
        <v>1379.299</v>
      </c>
      <c r="H12" s="35">
        <v>24.79271</v>
      </c>
      <c r="I12" s="35">
        <v>18.28049</v>
      </c>
      <c r="J12" s="36">
        <v>7.8E-2</v>
      </c>
      <c r="K12" s="39" t="s">
        <v>89</v>
      </c>
      <c r="L12" s="39" t="s">
        <v>89</v>
      </c>
      <c r="M12" s="39" t="s">
        <v>89</v>
      </c>
      <c r="N12" s="39" t="s">
        <v>89</v>
      </c>
      <c r="O12" s="34">
        <f>DATE(YEAR(Table1[[#This Row],[Calibration Date]])+3, MONTH(Table1[[#This Row],[Calibration Date]]),DAY(Table1[[#This Row],[Calibration Date]]))</f>
        <v>44249</v>
      </c>
    </row>
    <row r="13" spans="2:15" ht="37.5" x14ac:dyDescent="0.3">
      <c r="B13" s="31" t="s">
        <v>375</v>
      </c>
      <c r="C13" s="31" t="s">
        <v>379</v>
      </c>
      <c r="D13" s="31" t="s">
        <v>365</v>
      </c>
      <c r="E13" s="30" t="s">
        <v>380</v>
      </c>
      <c r="F13" s="34">
        <v>44138</v>
      </c>
      <c r="G13" s="35"/>
      <c r="H13" s="35"/>
      <c r="I13" s="35"/>
      <c r="J13" s="36">
        <v>0.23</v>
      </c>
      <c r="K13" s="39" t="s">
        <v>89</v>
      </c>
      <c r="L13" s="39" t="s">
        <v>89</v>
      </c>
      <c r="M13" s="39" t="s">
        <v>89</v>
      </c>
      <c r="N13" s="39">
        <v>0.1</v>
      </c>
      <c r="O13" s="34">
        <f>DATE(YEAR(Table1[[#This Row],[Calibration Date]])+3, MONTH(Table1[[#This Row],[Calibration Date]]),DAY(Table1[[#This Row],[Calibration Date]]))</f>
        <v>45233</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E3852714-E70B-473C-A38E-FC10B86FC92B}">
            <xm:f>NOT(ISERROR(SEARCH("--",G4)))</xm:f>
            <xm:f>"--"</xm:f>
            <x14:dxf>
              <font>
                <color auto="1"/>
              </font>
              <fill>
                <patternFill patternType="solid">
                  <fgColor auto="1"/>
                  <bgColor rgb="FFFF7C80"/>
                </patternFill>
              </fill>
            </x14:dxf>
          </x14:cfRule>
          <xm:sqref>G4:N12</xm:sqref>
        </x14:conditionalFormatting>
        <x14:conditionalFormatting xmlns:xm="http://schemas.microsoft.com/office/excel/2006/main">
          <x14:cfRule type="containsText" priority="1" operator="containsText" id="{941AE09E-D96F-4E20-A548-C0AC86895D61}">
            <xm:f>NOT(ISERROR(SEARCH("--",K13)))</xm:f>
            <xm:f>"--"</xm:f>
            <x14:dxf>
              <font>
                <color auto="1"/>
              </font>
              <fill>
                <patternFill patternType="solid">
                  <fgColor auto="1"/>
                  <bgColor rgb="FFFF7C80"/>
                </patternFill>
              </fill>
            </x14:dxf>
          </x14:cfRule>
          <xm:sqref>K13:N13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pageSetUpPr fitToPage="1"/>
  </sheetPr>
  <dimension ref="B1:AM105"/>
  <sheetViews>
    <sheetView topLeftCell="A19" zoomScale="145" zoomScaleNormal="145" zoomScaleSheetLayoutView="130" zoomScalePageLayoutView="130" workbookViewId="0">
      <selection activeCell="K46" sqref="K46"/>
    </sheetView>
  </sheetViews>
  <sheetFormatPr defaultColWidth="8.85546875" defaultRowHeight="15" x14ac:dyDescent="0.25"/>
  <cols>
    <col min="1" max="1" width="0.7109375" style="329" customWidth="1"/>
    <col min="2" max="4" width="8.5703125" style="329" customWidth="1"/>
    <col min="5" max="5" width="8.5703125" style="329" hidden="1" customWidth="1"/>
    <col min="6" max="12" width="8.5703125" style="329" customWidth="1"/>
    <col min="13" max="13" width="8.85546875" style="329"/>
    <col min="14" max="18" width="8.42578125" style="329" customWidth="1"/>
    <col min="19" max="22" width="8.85546875" style="329"/>
    <col min="23" max="24" width="8.85546875" style="329" customWidth="1"/>
    <col min="25" max="16384" width="8.85546875" style="329"/>
  </cols>
  <sheetData>
    <row r="1" spans="2:13" ht="18.600000000000001" customHeight="1" x14ac:dyDescent="0.25">
      <c r="B1" s="596" t="s">
        <v>290</v>
      </c>
      <c r="C1" s="596"/>
      <c r="D1" s="596"/>
      <c r="E1" s="596"/>
      <c r="F1" s="596"/>
      <c r="G1" s="596"/>
      <c r="H1" s="596"/>
      <c r="I1" s="596"/>
      <c r="J1" s="596"/>
      <c r="K1" s="596"/>
      <c r="L1" s="596"/>
      <c r="M1" s="596"/>
    </row>
    <row r="2" spans="2:13" s="323" customFormat="1" ht="14.45" customHeight="1" x14ac:dyDescent="0.2">
      <c r="B2" s="323" t="s">
        <v>291</v>
      </c>
      <c r="C2" s="377"/>
      <c r="D2" s="597" t="s">
        <v>345</v>
      </c>
      <c r="E2" s="597"/>
      <c r="F2" s="597"/>
      <c r="G2" s="597"/>
      <c r="H2" s="597"/>
      <c r="I2" s="597"/>
      <c r="J2" s="597"/>
      <c r="K2" s="597"/>
      <c r="L2" s="597"/>
      <c r="M2" s="377"/>
    </row>
    <row r="3" spans="2:13" s="323" customFormat="1" ht="14.45" customHeight="1" x14ac:dyDescent="0.2">
      <c r="B3" s="323" t="s">
        <v>292</v>
      </c>
      <c r="C3" s="377"/>
      <c r="D3" s="598" t="s">
        <v>345</v>
      </c>
      <c r="E3" s="598"/>
      <c r="F3" s="598"/>
      <c r="G3" s="598"/>
      <c r="H3" s="598"/>
      <c r="I3" s="598"/>
      <c r="J3" s="598"/>
      <c r="K3" s="598"/>
      <c r="L3" s="598"/>
      <c r="M3" s="377"/>
    </row>
    <row r="4" spans="2:13" s="323" customFormat="1" ht="14.45" customHeight="1" x14ac:dyDescent="0.2">
      <c r="B4" s="323" t="s">
        <v>293</v>
      </c>
      <c r="C4" s="377"/>
      <c r="D4" s="597" t="s">
        <v>345</v>
      </c>
      <c r="E4" s="597"/>
      <c r="F4" s="597"/>
      <c r="G4" s="597"/>
      <c r="H4" s="597"/>
      <c r="I4" s="597"/>
      <c r="J4" s="597"/>
      <c r="K4" s="597"/>
      <c r="L4" s="597"/>
      <c r="M4" s="377"/>
    </row>
    <row r="5" spans="2:13" s="323" customFormat="1" ht="12" x14ac:dyDescent="0.2">
      <c r="B5" s="323" t="s">
        <v>178</v>
      </c>
      <c r="D5" s="599" t="s">
        <v>345</v>
      </c>
      <c r="E5" s="599"/>
      <c r="F5" s="599"/>
      <c r="G5" s="599"/>
      <c r="H5" s="599"/>
      <c r="I5" s="311"/>
      <c r="J5" s="323" t="s">
        <v>294</v>
      </c>
      <c r="K5" s="738" t="s">
        <v>268</v>
      </c>
    </row>
    <row r="6" spans="2:13" s="323" customFormat="1" ht="12" x14ac:dyDescent="0.2">
      <c r="B6" s="323" t="s">
        <v>295</v>
      </c>
      <c r="D6" s="597" t="s">
        <v>404</v>
      </c>
      <c r="E6" s="597"/>
      <c r="F6" s="597"/>
      <c r="G6" s="597"/>
      <c r="H6" s="597"/>
      <c r="J6" s="323" t="s">
        <v>296</v>
      </c>
      <c r="K6" s="738" t="s">
        <v>405</v>
      </c>
    </row>
    <row r="7" spans="2:13" s="323" customFormat="1" ht="18" customHeight="1" x14ac:dyDescent="0.2">
      <c r="B7" s="323" t="s">
        <v>196</v>
      </c>
      <c r="D7" s="597" t="s">
        <v>345</v>
      </c>
      <c r="E7" s="597"/>
      <c r="F7" s="597"/>
      <c r="G7" s="597"/>
      <c r="H7" s="597"/>
      <c r="J7" s="323" t="s">
        <v>297</v>
      </c>
      <c r="K7" s="312" t="s">
        <v>345</v>
      </c>
    </row>
    <row r="8" spans="2:13" s="323" customFormat="1" ht="12" x14ac:dyDescent="0.2">
      <c r="B8" s="323" t="s">
        <v>336</v>
      </c>
      <c r="D8" s="321"/>
      <c r="E8" s="321"/>
      <c r="F8" s="321"/>
      <c r="G8" s="321"/>
      <c r="H8" s="321"/>
      <c r="K8" s="312"/>
    </row>
    <row r="9" spans="2:13" s="323" customFormat="1" ht="12" x14ac:dyDescent="0.2">
      <c r="B9" s="323" t="s">
        <v>333</v>
      </c>
      <c r="D9" s="597" t="s">
        <v>345</v>
      </c>
      <c r="E9" s="597"/>
      <c r="F9" s="597"/>
      <c r="G9" s="597"/>
      <c r="H9" s="597"/>
      <c r="J9" s="323" t="s">
        <v>298</v>
      </c>
      <c r="K9" s="312" t="s">
        <v>345</v>
      </c>
    </row>
    <row r="10" spans="2:13" s="323" customFormat="1" ht="12" x14ac:dyDescent="0.2">
      <c r="B10" s="323" t="s">
        <v>334</v>
      </c>
      <c r="D10" s="597" t="s">
        <v>345</v>
      </c>
      <c r="E10" s="597"/>
      <c r="F10" s="597"/>
      <c r="G10" s="597"/>
      <c r="H10" s="597"/>
      <c r="J10" s="323" t="s">
        <v>299</v>
      </c>
      <c r="K10" s="312" t="s">
        <v>345</v>
      </c>
    </row>
    <row r="11" spans="2:13" s="323" customFormat="1" ht="12" x14ac:dyDescent="0.2">
      <c r="B11" s="323" t="s">
        <v>335</v>
      </c>
      <c r="D11" s="321"/>
      <c r="E11" s="321"/>
      <c r="F11" s="321"/>
      <c r="G11" s="321"/>
      <c r="H11" s="321"/>
      <c r="K11" s="312"/>
    </row>
    <row r="12" spans="2:13" s="323" customFormat="1" ht="12" x14ac:dyDescent="0.2">
      <c r="B12" s="323" t="s">
        <v>333</v>
      </c>
      <c r="D12" s="597" t="s">
        <v>345</v>
      </c>
      <c r="E12" s="597"/>
      <c r="F12" s="597"/>
      <c r="G12" s="597"/>
      <c r="H12" s="597"/>
      <c r="K12" s="312" t="str">
        <f>'Dash Board'!N25 &amp;" "&amp; 'Dash Board'!O26</f>
        <v xml:space="preserve"> </v>
      </c>
    </row>
    <row r="13" spans="2:13" s="323" customFormat="1" ht="12" x14ac:dyDescent="0.2">
      <c r="B13" s="323" t="s">
        <v>334</v>
      </c>
      <c r="D13" s="597" t="s">
        <v>345</v>
      </c>
      <c r="E13" s="597"/>
      <c r="F13" s="597"/>
      <c r="G13" s="597"/>
      <c r="H13" s="597"/>
      <c r="K13" s="312" t="str">
        <f>'Dash Board'!N26 &amp;" "&amp; 'Dash Board'!O26</f>
        <v xml:space="preserve"> </v>
      </c>
    </row>
    <row r="14" spans="2:13" s="323" customFormat="1" ht="12" x14ac:dyDescent="0.2"/>
    <row r="15" spans="2:13" s="323" customFormat="1" ht="12" x14ac:dyDescent="0.2">
      <c r="B15" s="313" t="s">
        <v>406</v>
      </c>
    </row>
    <row r="16" spans="2:13" s="323" customFormat="1" ht="3.6" customHeight="1" x14ac:dyDescent="0.2">
      <c r="B16" s="313"/>
    </row>
    <row r="17" spans="2:13" s="323" customFormat="1" ht="20.100000000000001" customHeight="1" x14ac:dyDescent="0.2">
      <c r="B17" s="378" t="s">
        <v>300</v>
      </c>
      <c r="C17" s="379" t="s">
        <v>211</v>
      </c>
      <c r="D17" s="378" t="s">
        <v>300</v>
      </c>
      <c r="E17" s="378"/>
      <c r="F17" s="379" t="s">
        <v>301</v>
      </c>
      <c r="G17" s="378" t="s">
        <v>300</v>
      </c>
      <c r="H17" s="379" t="s">
        <v>213</v>
      </c>
      <c r="J17" s="380" t="s">
        <v>302</v>
      </c>
    </row>
    <row r="18" spans="2:13" s="323" customFormat="1" ht="15" customHeight="1" x14ac:dyDescent="0.2">
      <c r="B18" s="306">
        <f>Software!E45</f>
        <v>0</v>
      </c>
      <c r="C18" s="424">
        <v>0</v>
      </c>
      <c r="D18" s="306">
        <f>Software!E52</f>
        <v>0</v>
      </c>
      <c r="E18" s="306"/>
      <c r="F18" s="424"/>
      <c r="G18" s="306">
        <f>Software!E59</f>
        <v>0</v>
      </c>
      <c r="H18" s="424"/>
      <c r="J18" s="322" t="s">
        <v>416</v>
      </c>
      <c r="K18" s="323">
        <v>9.8066499999999994</v>
      </c>
      <c r="L18" s="323" t="s">
        <v>4</v>
      </c>
    </row>
    <row r="19" spans="2:13" s="323" customFormat="1" ht="15" customHeight="1" x14ac:dyDescent="0.2">
      <c r="B19" s="423">
        <v>15000</v>
      </c>
      <c r="C19" s="424">
        <v>14950</v>
      </c>
      <c r="D19" s="306">
        <f>B19</f>
        <v>15000</v>
      </c>
      <c r="E19" s="423"/>
      <c r="F19" s="424"/>
      <c r="G19" s="306">
        <f>B19</f>
        <v>15000</v>
      </c>
      <c r="H19" s="424"/>
      <c r="J19" s="322"/>
      <c r="L19" s="324"/>
      <c r="M19" s="324"/>
    </row>
    <row r="20" spans="2:13" s="323" customFormat="1" ht="15" customHeight="1" x14ac:dyDescent="0.2">
      <c r="B20" s="306">
        <f>Software!E47</f>
        <v>0</v>
      </c>
      <c r="C20" s="424">
        <v>0</v>
      </c>
      <c r="D20" s="306">
        <f>Software!E54</f>
        <v>0</v>
      </c>
      <c r="E20" s="306"/>
      <c r="F20" s="424"/>
      <c r="G20" s="306">
        <f>Software!E61</f>
        <v>0</v>
      </c>
      <c r="H20" s="424"/>
      <c r="J20" s="322"/>
    </row>
    <row r="21" spans="2:13" s="323" customFormat="1" ht="9.6" customHeight="1" x14ac:dyDescent="0.2"/>
    <row r="22" spans="2:13" s="323" customFormat="1" ht="12" x14ac:dyDescent="0.2">
      <c r="B22" s="313" t="s">
        <v>407</v>
      </c>
    </row>
    <row r="23" spans="2:13" s="323" customFormat="1" ht="3.6" customHeight="1" x14ac:dyDescent="0.2">
      <c r="B23" s="313"/>
      <c r="C23" s="323" t="s">
        <v>408</v>
      </c>
      <c r="G23" s="381"/>
      <c r="K23" s="323" t="s">
        <v>409</v>
      </c>
    </row>
    <row r="24" spans="2:13" s="323" customFormat="1" ht="24" customHeight="1" x14ac:dyDescent="0.2">
      <c r="B24" s="379" t="s">
        <v>303</v>
      </c>
      <c r="C24" s="379" t="s">
        <v>304</v>
      </c>
      <c r="D24" s="382" t="s">
        <v>300</v>
      </c>
      <c r="E24" s="382"/>
      <c r="F24" s="433" t="s">
        <v>7</v>
      </c>
      <c r="G24" s="378" t="s">
        <v>300</v>
      </c>
      <c r="H24" s="433" t="s">
        <v>358</v>
      </c>
      <c r="I24" s="378" t="s">
        <v>300</v>
      </c>
      <c r="J24" s="433" t="s">
        <v>5</v>
      </c>
      <c r="K24" s="379" t="s">
        <v>305</v>
      </c>
      <c r="L24" s="379" t="s">
        <v>306</v>
      </c>
    </row>
    <row r="25" spans="2:13" s="323" customFormat="1" ht="15" customHeight="1" x14ac:dyDescent="0.2">
      <c r="B25" s="383">
        <v>0</v>
      </c>
      <c r="C25" s="318" t="s">
        <v>345</v>
      </c>
      <c r="D25" s="325" t="s">
        <v>345</v>
      </c>
      <c r="E25" s="325"/>
      <c r="F25" s="424" t="s">
        <v>345</v>
      </c>
      <c r="G25" s="306" t="s">
        <v>345</v>
      </c>
      <c r="H25" s="424" t="s">
        <v>345</v>
      </c>
      <c r="I25" s="306" t="s">
        <v>345</v>
      </c>
      <c r="J25" s="424" t="s">
        <v>345</v>
      </c>
      <c r="K25" s="316" t="s">
        <v>345</v>
      </c>
      <c r="L25" s="317" t="s">
        <v>345</v>
      </c>
    </row>
    <row r="26" spans="2:13" s="323" customFormat="1" ht="15" customHeight="1" x14ac:dyDescent="0.2">
      <c r="B26" s="383" t="s">
        <v>7</v>
      </c>
      <c r="C26" s="318" t="s">
        <v>345</v>
      </c>
      <c r="D26" s="325" t="s">
        <v>345</v>
      </c>
      <c r="E26" s="325"/>
      <c r="F26" s="424" t="s">
        <v>345</v>
      </c>
      <c r="G26" s="306" t="s">
        <v>345</v>
      </c>
      <c r="H26" s="424" t="s">
        <v>345</v>
      </c>
      <c r="I26" s="306" t="s">
        <v>345</v>
      </c>
      <c r="J26" s="424" t="s">
        <v>345</v>
      </c>
      <c r="K26" s="316" t="s">
        <v>345</v>
      </c>
      <c r="L26" s="317" t="s">
        <v>345</v>
      </c>
    </row>
    <row r="27" spans="2:13" s="323" customFormat="1" ht="15" customHeight="1" x14ac:dyDescent="0.2">
      <c r="B27" s="383" t="s">
        <v>6</v>
      </c>
      <c r="C27" s="318" t="s">
        <v>345</v>
      </c>
      <c r="D27" s="325" t="s">
        <v>345</v>
      </c>
      <c r="E27" s="325"/>
      <c r="F27" s="424" t="s">
        <v>345</v>
      </c>
      <c r="G27" s="306" t="s">
        <v>345</v>
      </c>
      <c r="H27" s="424" t="s">
        <v>345</v>
      </c>
      <c r="I27" s="306" t="s">
        <v>345</v>
      </c>
      <c r="J27" s="424" t="s">
        <v>345</v>
      </c>
      <c r="K27" s="316" t="s">
        <v>345</v>
      </c>
      <c r="L27" s="317" t="s">
        <v>345</v>
      </c>
    </row>
    <row r="28" spans="2:13" s="323" customFormat="1" ht="15" customHeight="1" x14ac:dyDescent="0.2">
      <c r="B28" s="383" t="s">
        <v>5</v>
      </c>
      <c r="C28" s="318" t="s">
        <v>345</v>
      </c>
      <c r="D28" s="325" t="s">
        <v>345</v>
      </c>
      <c r="E28" s="325"/>
      <c r="F28" s="424" t="s">
        <v>345</v>
      </c>
      <c r="G28" s="306" t="s">
        <v>345</v>
      </c>
      <c r="H28" s="424" t="s">
        <v>345</v>
      </c>
      <c r="I28" s="306" t="s">
        <v>345</v>
      </c>
      <c r="J28" s="424" t="s">
        <v>345</v>
      </c>
      <c r="K28" s="316" t="s">
        <v>345</v>
      </c>
      <c r="L28" s="317" t="s">
        <v>345</v>
      </c>
    </row>
    <row r="29" spans="2:13" s="323" customFormat="1" ht="15" customHeight="1" x14ac:dyDescent="0.2">
      <c r="B29" s="383" t="s">
        <v>24</v>
      </c>
      <c r="C29" s="318" t="s">
        <v>345</v>
      </c>
      <c r="D29" s="325" t="s">
        <v>345</v>
      </c>
      <c r="E29" s="325"/>
      <c r="F29" s="424" t="s">
        <v>345</v>
      </c>
      <c r="G29" s="306" t="s">
        <v>345</v>
      </c>
      <c r="H29" s="424" t="s">
        <v>345</v>
      </c>
      <c r="I29" s="306" t="s">
        <v>345</v>
      </c>
      <c r="J29" s="424" t="s">
        <v>345</v>
      </c>
      <c r="K29" s="316" t="s">
        <v>345</v>
      </c>
      <c r="L29" s="317" t="s">
        <v>345</v>
      </c>
    </row>
    <row r="30" spans="2:13" s="323" customFormat="1" ht="15" customHeight="1" x14ac:dyDescent="0.2">
      <c r="B30" s="383" t="s">
        <v>25</v>
      </c>
      <c r="C30" s="318" t="s">
        <v>345</v>
      </c>
      <c r="D30" s="325" t="s">
        <v>345</v>
      </c>
      <c r="E30" s="325"/>
      <c r="F30" s="424" t="s">
        <v>345</v>
      </c>
      <c r="G30" s="306" t="s">
        <v>345</v>
      </c>
      <c r="H30" s="424" t="s">
        <v>345</v>
      </c>
      <c r="I30" s="306" t="s">
        <v>345</v>
      </c>
      <c r="J30" s="424" t="s">
        <v>345</v>
      </c>
      <c r="K30" s="316" t="s">
        <v>345</v>
      </c>
      <c r="L30" s="317" t="s">
        <v>345</v>
      </c>
    </row>
    <row r="31" spans="2:13" s="323" customFormat="1" ht="15" customHeight="1" x14ac:dyDescent="0.2">
      <c r="B31" s="383" t="s">
        <v>26</v>
      </c>
      <c r="C31" s="318" t="s">
        <v>345</v>
      </c>
      <c r="D31" s="325" t="s">
        <v>345</v>
      </c>
      <c r="E31" s="325"/>
      <c r="F31" s="424" t="s">
        <v>345</v>
      </c>
      <c r="G31" s="325" t="s">
        <v>345</v>
      </c>
      <c r="H31" s="424" t="s">
        <v>345</v>
      </c>
      <c r="I31" s="306" t="s">
        <v>345</v>
      </c>
      <c r="J31" s="424" t="s">
        <v>345</v>
      </c>
      <c r="K31" s="316" t="s">
        <v>345</v>
      </c>
      <c r="L31" s="317" t="s">
        <v>345</v>
      </c>
    </row>
    <row r="32" spans="2:13" s="323" customFormat="1" ht="15" customHeight="1" x14ac:dyDescent="0.2">
      <c r="B32" s="383" t="s">
        <v>27</v>
      </c>
      <c r="C32" s="318" t="s">
        <v>345</v>
      </c>
      <c r="D32" s="325" t="s">
        <v>345</v>
      </c>
      <c r="E32" s="325"/>
      <c r="F32" s="424" t="s">
        <v>345</v>
      </c>
      <c r="G32" s="325" t="s">
        <v>345</v>
      </c>
      <c r="H32" s="424" t="s">
        <v>345</v>
      </c>
      <c r="I32" s="306" t="s">
        <v>345</v>
      </c>
      <c r="J32" s="424" t="s">
        <v>345</v>
      </c>
      <c r="K32" s="316" t="s">
        <v>345</v>
      </c>
      <c r="L32" s="317" t="s">
        <v>345</v>
      </c>
    </row>
    <row r="33" spans="2:12" s="323" customFormat="1" ht="15" customHeight="1" x14ac:dyDescent="0.2">
      <c r="B33" s="383" t="s">
        <v>28</v>
      </c>
      <c r="C33" s="318" t="s">
        <v>345</v>
      </c>
      <c r="D33" s="325" t="s">
        <v>345</v>
      </c>
      <c r="E33" s="325"/>
      <c r="F33" s="424" t="s">
        <v>345</v>
      </c>
      <c r="G33" s="325" t="s">
        <v>345</v>
      </c>
      <c r="H33" s="424" t="s">
        <v>345</v>
      </c>
      <c r="I33" s="306" t="s">
        <v>345</v>
      </c>
      <c r="J33" s="424" t="s">
        <v>345</v>
      </c>
      <c r="K33" s="316" t="s">
        <v>345</v>
      </c>
      <c r="L33" s="317" t="s">
        <v>345</v>
      </c>
    </row>
    <row r="34" spans="2:12" s="323" customFormat="1" ht="15" customHeight="1" x14ac:dyDescent="0.2">
      <c r="B34" s="383" t="s">
        <v>29</v>
      </c>
      <c r="C34" s="318" t="s">
        <v>345</v>
      </c>
      <c r="D34" s="325" t="s">
        <v>345</v>
      </c>
      <c r="E34" s="325"/>
      <c r="F34" s="424" t="s">
        <v>345</v>
      </c>
      <c r="G34" s="325" t="s">
        <v>345</v>
      </c>
      <c r="H34" s="424" t="s">
        <v>345</v>
      </c>
      <c r="I34" s="306" t="s">
        <v>345</v>
      </c>
      <c r="J34" s="424" t="s">
        <v>345</v>
      </c>
      <c r="K34" s="316" t="s">
        <v>345</v>
      </c>
      <c r="L34" s="317" t="s">
        <v>345</v>
      </c>
    </row>
    <row r="35" spans="2:12" s="323" customFormat="1" ht="15" customHeight="1" x14ac:dyDescent="0.2">
      <c r="B35" s="383" t="s">
        <v>30</v>
      </c>
      <c r="C35" s="318" t="s">
        <v>345</v>
      </c>
      <c r="D35" s="325" t="s">
        <v>345</v>
      </c>
      <c r="E35" s="325"/>
      <c r="F35" s="424" t="s">
        <v>345</v>
      </c>
      <c r="G35" s="325" t="s">
        <v>345</v>
      </c>
      <c r="H35" s="424" t="s">
        <v>345</v>
      </c>
      <c r="I35" s="306" t="s">
        <v>345</v>
      </c>
      <c r="J35" s="424" t="s">
        <v>345</v>
      </c>
      <c r="K35" s="316" t="s">
        <v>345</v>
      </c>
      <c r="L35" s="317" t="s">
        <v>345</v>
      </c>
    </row>
    <row r="36" spans="2:12" s="323" customFormat="1" ht="15" customHeight="1" x14ac:dyDescent="0.2">
      <c r="B36" s="383">
        <v>0</v>
      </c>
      <c r="C36" s="318">
        <f>IF('Dash Board'!T19&lt;&gt;"",'Dash Board'!T19,"- -")</f>
        <v>0</v>
      </c>
      <c r="D36" s="325">
        <f t="shared" ref="D26:D36" si="0">C36</f>
        <v>0</v>
      </c>
      <c r="E36" s="325"/>
      <c r="F36" s="317">
        <v>0</v>
      </c>
      <c r="G36" s="325">
        <f t="shared" ref="G32:G36" si="1">IF(C36="- -","",C36)</f>
        <v>0</v>
      </c>
      <c r="H36" s="317">
        <v>0</v>
      </c>
      <c r="I36" s="306">
        <f t="shared" ref="I32:I36" si="2">IF(C36="- -","",C36)</f>
        <v>0</v>
      </c>
      <c r="J36" s="317">
        <v>0</v>
      </c>
      <c r="K36" s="384"/>
      <c r="L36" s="384"/>
    </row>
    <row r="37" spans="2:12" s="323" customFormat="1" ht="12" x14ac:dyDescent="0.2">
      <c r="B37" s="322" t="s">
        <v>307</v>
      </c>
    </row>
    <row r="38" spans="2:12" s="323" customFormat="1" ht="7.9" customHeight="1" x14ac:dyDescent="0.2"/>
    <row r="39" spans="2:12" s="323" customFormat="1" ht="12" x14ac:dyDescent="0.2">
      <c r="B39" s="313" t="s">
        <v>308</v>
      </c>
      <c r="C39" s="313"/>
      <c r="D39" s="313"/>
      <c r="E39" s="313"/>
      <c r="F39" s="385"/>
      <c r="G39" s="385"/>
      <c r="H39" s="385"/>
      <c r="J39" s="385" t="s">
        <v>309</v>
      </c>
    </row>
    <row r="40" spans="2:12" s="323" customFormat="1" ht="3.6" customHeight="1" x14ac:dyDescent="0.2">
      <c r="B40" s="313"/>
      <c r="C40" s="313"/>
      <c r="D40" s="313"/>
      <c r="E40" s="313"/>
      <c r="F40" s="385"/>
      <c r="G40" s="385"/>
      <c r="H40" s="385"/>
      <c r="J40" s="385"/>
    </row>
    <row r="41" spans="2:12" s="323" customFormat="1" ht="16.149999999999999" customHeight="1" thickBot="1" x14ac:dyDescent="0.25">
      <c r="B41" s="590" t="str">
        <f>"In: "&amp;K5&amp;" Mode"</f>
        <v>In: Compression Mode</v>
      </c>
      <c r="C41" s="590"/>
      <c r="D41" s="590"/>
      <c r="E41" s="590"/>
      <c r="F41" s="590"/>
      <c r="G41" s="590"/>
      <c r="H41" s="590"/>
      <c r="I41" s="376"/>
      <c r="J41" s="386" t="s">
        <v>310</v>
      </c>
      <c r="K41" s="387"/>
      <c r="L41" s="388"/>
    </row>
    <row r="42" spans="2:12" s="323" customFormat="1" ht="12.75" thickTop="1" x14ac:dyDescent="0.2">
      <c r="B42" s="389" t="s">
        <v>47</v>
      </c>
      <c r="C42" s="739" t="s">
        <v>345</v>
      </c>
      <c r="D42" s="740"/>
      <c r="E42" s="421">
        <f>IF('Dash Board'!$N$17="Compression",6,10)</f>
        <v>6</v>
      </c>
      <c r="F42" s="390" t="s">
        <v>0</v>
      </c>
      <c r="G42" s="591" t="s">
        <v>345</v>
      </c>
      <c r="H42" s="592" t="s">
        <v>361</v>
      </c>
      <c r="I42" s="376"/>
      <c r="J42" s="391"/>
      <c r="K42" s="392" t="s">
        <v>226</v>
      </c>
      <c r="L42" s="392" t="s">
        <v>227</v>
      </c>
    </row>
    <row r="43" spans="2:12" s="323" customFormat="1" ht="12" x14ac:dyDescent="0.2">
      <c r="B43" s="389" t="s">
        <v>49</v>
      </c>
      <c r="C43" s="594" t="e">
        <f>VLOOKUP($C$42,Table1[],2,FALSE)</f>
        <v>#N/A</v>
      </c>
      <c r="D43" s="595"/>
      <c r="E43" s="421">
        <f>IF('Dash Board'!$N$17="Compression",7,11)</f>
        <v>7</v>
      </c>
      <c r="F43" s="390" t="s">
        <v>1</v>
      </c>
      <c r="G43" s="591" t="s">
        <v>345</v>
      </c>
      <c r="H43" s="592" t="s">
        <v>362</v>
      </c>
      <c r="I43" s="376"/>
      <c r="J43" s="393" t="s">
        <v>225</v>
      </c>
      <c r="K43" s="394" t="s">
        <v>345</v>
      </c>
      <c r="L43" s="394" t="s">
        <v>345</v>
      </c>
    </row>
    <row r="44" spans="2:12" s="323" customFormat="1" ht="12" x14ac:dyDescent="0.2">
      <c r="B44" s="395" t="s">
        <v>119</v>
      </c>
      <c r="C44" s="739" t="s">
        <v>345</v>
      </c>
      <c r="D44" s="740"/>
      <c r="E44" s="421">
        <f>IF('Dash Board'!$N$17="Compression",8,12)</f>
        <v>8</v>
      </c>
      <c r="F44" s="390" t="s">
        <v>2</v>
      </c>
      <c r="G44" s="591" t="s">
        <v>345</v>
      </c>
      <c r="H44" s="592" t="s">
        <v>363</v>
      </c>
      <c r="I44" s="376"/>
      <c r="J44" s="393" t="s">
        <v>224</v>
      </c>
      <c r="K44" s="396" t="s">
        <v>345</v>
      </c>
      <c r="L44" s="396" t="s">
        <v>345</v>
      </c>
    </row>
    <row r="45" spans="2:12" s="323" customFormat="1" ht="12" x14ac:dyDescent="0.2">
      <c r="B45" s="389" t="s">
        <v>52</v>
      </c>
      <c r="C45" s="739" t="s">
        <v>345</v>
      </c>
      <c r="D45" s="740"/>
      <c r="E45" s="421">
        <f>IF('Dash Board'!$N$17="Compression",9,13)</f>
        <v>9</v>
      </c>
      <c r="F45" s="390" t="s">
        <v>36</v>
      </c>
      <c r="G45" s="591" t="s">
        <v>345</v>
      </c>
      <c r="H45" s="592" t="s">
        <v>364</v>
      </c>
      <c r="I45" s="376"/>
      <c r="J45" s="376"/>
      <c r="K45" s="376"/>
      <c r="L45" s="376"/>
    </row>
    <row r="46" spans="2:12" x14ac:dyDescent="0.25">
      <c r="B46" s="389" t="s">
        <v>48</v>
      </c>
      <c r="C46" s="741" t="s">
        <v>345</v>
      </c>
      <c r="D46" s="742"/>
      <c r="E46" s="425">
        <f>IF('Dash Board'!$N$17="Compression",10,14)</f>
        <v>10</v>
      </c>
      <c r="F46" s="390" t="s">
        <v>33</v>
      </c>
      <c r="G46" s="743">
        <v>2</v>
      </c>
      <c r="H46" s="593"/>
    </row>
    <row r="47" spans="2:12" x14ac:dyDescent="0.25">
      <c r="C47" s="589"/>
      <c r="D47" s="589"/>
      <c r="E47" s="420"/>
    </row>
    <row r="48" spans="2:12" x14ac:dyDescent="0.25">
      <c r="B48" s="313" t="s">
        <v>311</v>
      </c>
      <c r="C48" s="323"/>
      <c r="D48" s="323"/>
      <c r="E48" s="323"/>
      <c r="F48" s="323"/>
      <c r="G48" s="323"/>
      <c r="H48" s="323"/>
      <c r="I48" s="313" t="s">
        <v>186</v>
      </c>
    </row>
    <row r="49" spans="2:12" x14ac:dyDescent="0.25">
      <c r="L49" s="376"/>
    </row>
    <row r="50" spans="2:12" x14ac:dyDescent="0.25">
      <c r="B50" s="397"/>
      <c r="C50" s="397"/>
      <c r="G50" s="397"/>
      <c r="I50" s="397"/>
      <c r="J50" s="397"/>
      <c r="L50" s="376"/>
    </row>
    <row r="51" spans="2:12" x14ac:dyDescent="0.25">
      <c r="B51" s="601" t="s">
        <v>312</v>
      </c>
      <c r="C51" s="601"/>
      <c r="D51" s="323"/>
      <c r="E51" s="323"/>
      <c r="F51" s="601" t="s">
        <v>313</v>
      </c>
      <c r="G51" s="601"/>
    </row>
    <row r="52" spans="2:12" x14ac:dyDescent="0.25">
      <c r="B52" s="323"/>
      <c r="I52" s="744" t="s">
        <v>314</v>
      </c>
      <c r="J52" s="745"/>
    </row>
    <row r="54" spans="2:12" x14ac:dyDescent="0.25">
      <c r="B54" s="313" t="s">
        <v>410</v>
      </c>
    </row>
    <row r="55" spans="2:12" ht="3.6" customHeight="1" x14ac:dyDescent="0.25">
      <c r="B55" s="398"/>
    </row>
    <row r="56" spans="2:12" ht="22.5" x14ac:dyDescent="0.25">
      <c r="B56" s="399" t="s">
        <v>303</v>
      </c>
      <c r="C56" s="400" t="s">
        <v>411</v>
      </c>
      <c r="D56" s="401" t="s">
        <v>211</v>
      </c>
      <c r="E56" s="426"/>
      <c r="F56" s="400" t="s">
        <v>411</v>
      </c>
      <c r="G56" s="401" t="s">
        <v>301</v>
      </c>
      <c r="H56" s="400" t="s">
        <v>411</v>
      </c>
      <c r="I56" s="401" t="s">
        <v>213</v>
      </c>
      <c r="J56" s="402" t="s">
        <v>409</v>
      </c>
      <c r="K56" s="401" t="s">
        <v>306</v>
      </c>
    </row>
    <row r="57" spans="2:12" s="376" customFormat="1" ht="11.45" customHeight="1" x14ac:dyDescent="0.2">
      <c r="B57" s="319">
        <v>0</v>
      </c>
      <c r="C57" s="320">
        <v>0</v>
      </c>
      <c r="D57" s="299" t="s">
        <v>345</v>
      </c>
      <c r="E57" s="299"/>
      <c r="F57" s="299">
        <v>0</v>
      </c>
      <c r="G57" s="299" t="s">
        <v>345</v>
      </c>
      <c r="H57" s="299">
        <v>0</v>
      </c>
      <c r="I57" s="299" t="s">
        <v>345</v>
      </c>
      <c r="J57" s="298" t="s">
        <v>345</v>
      </c>
      <c r="K57" s="298" t="s">
        <v>345</v>
      </c>
    </row>
    <row r="58" spans="2:12" s="376" customFormat="1" ht="11.45" customHeight="1" x14ac:dyDescent="0.2">
      <c r="B58" s="319" t="s">
        <v>7</v>
      </c>
      <c r="C58" s="320">
        <v>0</v>
      </c>
      <c r="D58" s="299" t="s">
        <v>345</v>
      </c>
      <c r="E58" s="299"/>
      <c r="F58" s="299">
        <v>0</v>
      </c>
      <c r="G58" s="299" t="s">
        <v>345</v>
      </c>
      <c r="H58" s="299">
        <v>0</v>
      </c>
      <c r="I58" s="299" t="s">
        <v>345</v>
      </c>
      <c r="J58" s="298" t="s">
        <v>345</v>
      </c>
      <c r="K58" s="298" t="s">
        <v>345</v>
      </c>
    </row>
    <row r="59" spans="2:12" s="376" customFormat="1" ht="11.45" customHeight="1" x14ac:dyDescent="0.2">
      <c r="B59" s="319" t="s">
        <v>6</v>
      </c>
      <c r="C59" s="320">
        <v>0</v>
      </c>
      <c r="D59" s="299" t="s">
        <v>345</v>
      </c>
      <c r="E59" s="299"/>
      <c r="F59" s="299">
        <v>0</v>
      </c>
      <c r="G59" s="299" t="s">
        <v>345</v>
      </c>
      <c r="H59" s="299">
        <v>0</v>
      </c>
      <c r="I59" s="299" t="s">
        <v>345</v>
      </c>
      <c r="J59" s="298" t="s">
        <v>345</v>
      </c>
      <c r="K59" s="298" t="s">
        <v>345</v>
      </c>
    </row>
    <row r="60" spans="2:12" s="376" customFormat="1" ht="11.45" customHeight="1" x14ac:dyDescent="0.2">
      <c r="B60" s="319" t="s">
        <v>5</v>
      </c>
      <c r="C60" s="320">
        <v>0</v>
      </c>
      <c r="D60" s="299" t="s">
        <v>345</v>
      </c>
      <c r="E60" s="299"/>
      <c r="F60" s="299">
        <v>0</v>
      </c>
      <c r="G60" s="299" t="s">
        <v>345</v>
      </c>
      <c r="H60" s="299">
        <v>0</v>
      </c>
      <c r="I60" s="299" t="s">
        <v>345</v>
      </c>
      <c r="J60" s="298" t="s">
        <v>345</v>
      </c>
      <c r="K60" s="298" t="s">
        <v>345</v>
      </c>
    </row>
    <row r="61" spans="2:12" s="376" customFormat="1" ht="11.45" customHeight="1" x14ac:dyDescent="0.2">
      <c r="B61" s="319" t="s">
        <v>24</v>
      </c>
      <c r="C61" s="320">
        <v>0</v>
      </c>
      <c r="D61" s="299" t="s">
        <v>345</v>
      </c>
      <c r="E61" s="299"/>
      <c r="F61" s="299">
        <v>0</v>
      </c>
      <c r="G61" s="299" t="s">
        <v>345</v>
      </c>
      <c r="H61" s="299">
        <v>0</v>
      </c>
      <c r="I61" s="299" t="s">
        <v>345</v>
      </c>
      <c r="J61" s="298" t="s">
        <v>345</v>
      </c>
      <c r="K61" s="298" t="s">
        <v>345</v>
      </c>
    </row>
    <row r="62" spans="2:12" s="376" customFormat="1" ht="11.45" customHeight="1" x14ac:dyDescent="0.2">
      <c r="B62" s="319" t="s">
        <v>25</v>
      </c>
      <c r="C62" s="320">
        <v>0</v>
      </c>
      <c r="D62" s="299" t="s">
        <v>345</v>
      </c>
      <c r="E62" s="299"/>
      <c r="F62" s="299">
        <v>0</v>
      </c>
      <c r="G62" s="299" t="s">
        <v>345</v>
      </c>
      <c r="H62" s="299">
        <v>0</v>
      </c>
      <c r="I62" s="299" t="s">
        <v>345</v>
      </c>
      <c r="J62" s="298" t="s">
        <v>345</v>
      </c>
      <c r="K62" s="298" t="s">
        <v>345</v>
      </c>
    </row>
    <row r="63" spans="2:12" s="376" customFormat="1" ht="11.45" customHeight="1" x14ac:dyDescent="0.2">
      <c r="B63" s="319" t="s">
        <v>26</v>
      </c>
      <c r="C63" s="320">
        <v>0</v>
      </c>
      <c r="D63" s="299" t="s">
        <v>345</v>
      </c>
      <c r="E63" s="299"/>
      <c r="F63" s="299">
        <v>0</v>
      </c>
      <c r="G63" s="299" t="s">
        <v>345</v>
      </c>
      <c r="H63" s="299">
        <v>0</v>
      </c>
      <c r="I63" s="299" t="s">
        <v>345</v>
      </c>
      <c r="J63" s="298" t="s">
        <v>345</v>
      </c>
      <c r="K63" s="298" t="s">
        <v>345</v>
      </c>
    </row>
    <row r="64" spans="2:12" s="376" customFormat="1" ht="11.45" customHeight="1" x14ac:dyDescent="0.2">
      <c r="B64" s="319" t="s">
        <v>27</v>
      </c>
      <c r="C64" s="320">
        <v>0</v>
      </c>
      <c r="D64" s="299" t="s">
        <v>345</v>
      </c>
      <c r="E64" s="299"/>
      <c r="F64" s="299">
        <v>0</v>
      </c>
      <c r="G64" s="299" t="s">
        <v>345</v>
      </c>
      <c r="H64" s="299">
        <v>0</v>
      </c>
      <c r="I64" s="299" t="s">
        <v>345</v>
      </c>
      <c r="J64" s="298" t="s">
        <v>345</v>
      </c>
      <c r="K64" s="298" t="s">
        <v>345</v>
      </c>
    </row>
    <row r="65" spans="2:39" s="376" customFormat="1" ht="11.45" customHeight="1" x14ac:dyDescent="0.2">
      <c r="B65" s="319" t="s">
        <v>28</v>
      </c>
      <c r="C65" s="320">
        <v>0</v>
      </c>
      <c r="D65" s="299" t="s">
        <v>345</v>
      </c>
      <c r="E65" s="299"/>
      <c r="F65" s="299">
        <v>0</v>
      </c>
      <c r="G65" s="299" t="s">
        <v>345</v>
      </c>
      <c r="H65" s="299">
        <v>0</v>
      </c>
      <c r="I65" s="299" t="s">
        <v>345</v>
      </c>
      <c r="J65" s="298" t="s">
        <v>345</v>
      </c>
      <c r="K65" s="298" t="s">
        <v>345</v>
      </c>
    </row>
    <row r="66" spans="2:39" s="376" customFormat="1" ht="11.45" customHeight="1" x14ac:dyDescent="0.2">
      <c r="B66" s="319" t="s">
        <v>29</v>
      </c>
      <c r="C66" s="320">
        <v>0</v>
      </c>
      <c r="D66" s="299" t="s">
        <v>345</v>
      </c>
      <c r="E66" s="299"/>
      <c r="F66" s="299">
        <v>0</v>
      </c>
      <c r="G66" s="299" t="s">
        <v>345</v>
      </c>
      <c r="H66" s="299">
        <v>0</v>
      </c>
      <c r="I66" s="299" t="s">
        <v>345</v>
      </c>
      <c r="J66" s="298" t="s">
        <v>345</v>
      </c>
      <c r="K66" s="298" t="s">
        <v>345</v>
      </c>
    </row>
    <row r="67" spans="2:39" s="376" customFormat="1" ht="11.45" customHeight="1" x14ac:dyDescent="0.2">
      <c r="B67" s="319" t="s">
        <v>30</v>
      </c>
      <c r="C67" s="320">
        <v>0</v>
      </c>
      <c r="D67" s="299" t="s">
        <v>345</v>
      </c>
      <c r="E67" s="299"/>
      <c r="F67" s="299">
        <v>0</v>
      </c>
      <c r="G67" s="299" t="s">
        <v>345</v>
      </c>
      <c r="H67" s="299">
        <v>0</v>
      </c>
      <c r="I67" s="299" t="s">
        <v>345</v>
      </c>
      <c r="J67" s="298" t="s">
        <v>345</v>
      </c>
      <c r="K67" s="298" t="s">
        <v>345</v>
      </c>
    </row>
    <row r="68" spans="2:39" s="376" customFormat="1" ht="11.45" customHeight="1" x14ac:dyDescent="0.2">
      <c r="B68" s="319">
        <v>0</v>
      </c>
      <c r="C68" s="320">
        <f t="shared" ref="C58:C68" si="3">IF(D36&lt;&gt;"",D36*$K$18,"- -")</f>
        <v>0</v>
      </c>
      <c r="D68" s="299" t="e">
        <f t="shared" ref="D59:D68" si="4">IF(F36&lt;&gt;"",((F36-$F$25)*$K$18),"- -")</f>
        <v>#VALUE!</v>
      </c>
      <c r="E68" s="299"/>
      <c r="F68" s="299">
        <f t="shared" ref="F58:F68" si="5">IF(G36&lt;&gt;"",G36*$K$18,"- -")</f>
        <v>0</v>
      </c>
      <c r="G68" s="299" t="e">
        <f t="shared" ref="G59:G68" si="6">IF(H36&lt;&gt;"",((H36-$H$25)*$K$18),"- -")</f>
        <v>#VALUE!</v>
      </c>
      <c r="H68" s="299">
        <f t="shared" ref="H58:H68" si="7">IF(I36&lt;&gt;"",I36*$K$18,"- -")</f>
        <v>0</v>
      </c>
      <c r="I68" s="299" t="e">
        <f t="shared" ref="I59:I68" si="8">IF(J36&lt;&gt;"",(J36-$J$25)*$K$18,"- -")</f>
        <v>#VALUE!</v>
      </c>
      <c r="J68" s="403"/>
      <c r="K68" s="403"/>
    </row>
    <row r="69" spans="2:39" x14ac:dyDescent="0.25">
      <c r="O69" s="376"/>
      <c r="P69" s="376"/>
      <c r="Q69" s="376"/>
      <c r="R69" s="376"/>
      <c r="S69" s="376"/>
      <c r="T69" s="376"/>
      <c r="U69" s="376"/>
      <c r="V69" s="376"/>
      <c r="W69" s="376"/>
      <c r="X69" s="376"/>
      <c r="Y69" s="376"/>
      <c r="Z69" s="376"/>
      <c r="AA69" s="376"/>
      <c r="AB69" s="376"/>
      <c r="AC69" s="376"/>
      <c r="AD69" s="376"/>
      <c r="AE69" s="376"/>
      <c r="AF69" s="376"/>
      <c r="AG69" s="376"/>
      <c r="AH69" s="376"/>
      <c r="AI69" s="376"/>
      <c r="AJ69" s="376"/>
      <c r="AK69" s="376"/>
    </row>
    <row r="70" spans="2:39" s="323" customFormat="1" ht="12" x14ac:dyDescent="0.2">
      <c r="B70" s="313" t="s">
        <v>315</v>
      </c>
      <c r="I70" s="313" t="s">
        <v>316</v>
      </c>
    </row>
    <row r="71" spans="2:39" ht="3" customHeight="1" x14ac:dyDescent="0.25">
      <c r="B71" s="398"/>
      <c r="O71" s="376"/>
      <c r="P71" s="376"/>
      <c r="Q71" s="376"/>
      <c r="R71" s="376"/>
      <c r="S71" s="376"/>
      <c r="T71" s="376"/>
      <c r="U71" s="376"/>
      <c r="V71" s="376"/>
      <c r="W71" s="376"/>
      <c r="X71" s="376"/>
      <c r="Y71" s="376"/>
      <c r="Z71" s="376"/>
      <c r="AA71" s="376"/>
      <c r="AB71" s="376"/>
      <c r="AC71" s="376"/>
      <c r="AD71" s="376"/>
      <c r="AE71" s="376"/>
      <c r="AF71" s="376"/>
      <c r="AG71" s="376"/>
      <c r="AH71" s="376"/>
      <c r="AI71" s="376"/>
      <c r="AJ71" s="376"/>
      <c r="AK71" s="376"/>
    </row>
    <row r="72" spans="2:39" ht="15.6" customHeight="1" x14ac:dyDescent="0.25">
      <c r="B72" s="590" t="s">
        <v>412</v>
      </c>
      <c r="C72" s="600" t="s">
        <v>210</v>
      </c>
      <c r="D72" s="600"/>
      <c r="E72" s="600"/>
      <c r="F72" s="600"/>
      <c r="G72" s="600"/>
      <c r="H72" s="323"/>
      <c r="I72" s="590" t="s">
        <v>412</v>
      </c>
      <c r="J72" s="600" t="s">
        <v>210</v>
      </c>
      <c r="K72" s="600"/>
      <c r="L72" s="600"/>
      <c r="M72" s="600"/>
      <c r="O72" s="376"/>
      <c r="P72" s="376"/>
      <c r="Q72" s="376"/>
      <c r="R72" s="376"/>
      <c r="S72" s="376"/>
      <c r="T72" s="376"/>
      <c r="U72" s="376"/>
      <c r="V72" s="376"/>
      <c r="W72" s="376"/>
      <c r="X72" s="376"/>
      <c r="Y72" s="376"/>
      <c r="Z72" s="376"/>
      <c r="AA72" s="376"/>
      <c r="AB72" s="376"/>
      <c r="AC72" s="376"/>
      <c r="AD72" s="376"/>
      <c r="AE72" s="376"/>
      <c r="AF72" s="376"/>
      <c r="AG72" s="376"/>
      <c r="AH72" s="376"/>
      <c r="AI72" s="376"/>
      <c r="AJ72" s="376"/>
      <c r="AK72" s="376"/>
    </row>
    <row r="73" spans="2:39" ht="13.15" customHeight="1" x14ac:dyDescent="0.25">
      <c r="B73" s="590"/>
      <c r="C73" s="404" t="s">
        <v>211</v>
      </c>
      <c r="D73" s="404" t="s">
        <v>301</v>
      </c>
      <c r="E73" s="404"/>
      <c r="F73" s="404" t="s">
        <v>213</v>
      </c>
      <c r="G73" s="401" t="s">
        <v>214</v>
      </c>
      <c r="H73" s="323"/>
      <c r="I73" s="590"/>
      <c r="J73" s="404" t="s">
        <v>413</v>
      </c>
      <c r="K73" s="404" t="s">
        <v>414</v>
      </c>
      <c r="L73" s="404" t="s">
        <v>415</v>
      </c>
      <c r="M73" s="404" t="s">
        <v>409</v>
      </c>
      <c r="O73" s="376"/>
      <c r="P73" s="376"/>
      <c r="Q73" s="376"/>
      <c r="R73" s="376"/>
      <c r="S73" s="376"/>
      <c r="T73" s="376"/>
      <c r="U73" s="376"/>
      <c r="V73" s="376"/>
      <c r="W73" s="376"/>
      <c r="X73" s="376"/>
      <c r="Y73" s="376"/>
      <c r="Z73" s="376"/>
      <c r="AA73" s="376"/>
      <c r="AB73" s="376"/>
      <c r="AC73" s="376"/>
      <c r="AD73" s="376"/>
      <c r="AE73" s="376"/>
      <c r="AF73" s="376"/>
      <c r="AG73" s="376"/>
      <c r="AH73" s="376"/>
      <c r="AI73" s="376"/>
      <c r="AJ73" s="376"/>
      <c r="AK73" s="376"/>
    </row>
    <row r="74" spans="2:39" s="376" customFormat="1" ht="11.45" customHeight="1" x14ac:dyDescent="0.25">
      <c r="B74" s="297" t="s">
        <v>345</v>
      </c>
      <c r="C74" s="300" t="s">
        <v>345</v>
      </c>
      <c r="D74" s="300" t="s">
        <v>345</v>
      </c>
      <c r="E74" s="300"/>
      <c r="F74" s="300" t="s">
        <v>345</v>
      </c>
      <c r="G74" s="298" t="s">
        <v>345</v>
      </c>
      <c r="I74" s="297" t="s">
        <v>345</v>
      </c>
      <c r="J74" s="300" t="s">
        <v>345</v>
      </c>
      <c r="K74" s="300" t="s">
        <v>345</v>
      </c>
      <c r="L74" s="300" t="s">
        <v>345</v>
      </c>
      <c r="M74" s="298" t="s">
        <v>345</v>
      </c>
      <c r="AL74" s="329"/>
      <c r="AM74" s="329"/>
    </row>
    <row r="75" spans="2:39" s="376" customFormat="1" ht="11.45" customHeight="1" x14ac:dyDescent="0.25">
      <c r="B75" s="297" t="s">
        <v>345</v>
      </c>
      <c r="C75" s="300" t="s">
        <v>345</v>
      </c>
      <c r="D75" s="300" t="s">
        <v>345</v>
      </c>
      <c r="E75" s="300"/>
      <c r="F75" s="300" t="s">
        <v>345</v>
      </c>
      <c r="G75" s="298" t="s">
        <v>345</v>
      </c>
      <c r="I75" s="297" t="s">
        <v>345</v>
      </c>
      <c r="J75" s="300" t="s">
        <v>345</v>
      </c>
      <c r="K75" s="300" t="s">
        <v>345</v>
      </c>
      <c r="L75" s="300" t="s">
        <v>345</v>
      </c>
      <c r="M75" s="298" t="s">
        <v>345</v>
      </c>
      <c r="AL75" s="329"/>
      <c r="AM75" s="329"/>
    </row>
    <row r="76" spans="2:39" s="376" customFormat="1" ht="11.45" customHeight="1" x14ac:dyDescent="0.25">
      <c r="B76" s="297" t="s">
        <v>345</v>
      </c>
      <c r="C76" s="300" t="s">
        <v>345</v>
      </c>
      <c r="D76" s="300" t="s">
        <v>345</v>
      </c>
      <c r="E76" s="300"/>
      <c r="F76" s="300" t="s">
        <v>345</v>
      </c>
      <c r="G76" s="298" t="s">
        <v>345</v>
      </c>
      <c r="I76" s="297" t="s">
        <v>345</v>
      </c>
      <c r="J76" s="300" t="s">
        <v>345</v>
      </c>
      <c r="K76" s="300" t="s">
        <v>345</v>
      </c>
      <c r="L76" s="300" t="s">
        <v>345</v>
      </c>
      <c r="M76" s="298" t="s">
        <v>345</v>
      </c>
      <c r="AL76" s="329"/>
      <c r="AM76" s="329"/>
    </row>
    <row r="77" spans="2:39" s="376" customFormat="1" ht="11.45" customHeight="1" x14ac:dyDescent="0.25">
      <c r="B77" s="297" t="s">
        <v>345</v>
      </c>
      <c r="C77" s="300" t="s">
        <v>345</v>
      </c>
      <c r="D77" s="300" t="s">
        <v>345</v>
      </c>
      <c r="E77" s="300"/>
      <c r="F77" s="300" t="s">
        <v>345</v>
      </c>
      <c r="G77" s="298" t="s">
        <v>345</v>
      </c>
      <c r="I77" s="297" t="s">
        <v>345</v>
      </c>
      <c r="J77" s="300" t="s">
        <v>345</v>
      </c>
      <c r="K77" s="300" t="s">
        <v>345</v>
      </c>
      <c r="L77" s="300" t="s">
        <v>345</v>
      </c>
      <c r="M77" s="298" t="s">
        <v>345</v>
      </c>
      <c r="AL77" s="329"/>
      <c r="AM77" s="329"/>
    </row>
    <row r="78" spans="2:39" s="376" customFormat="1" ht="11.45" customHeight="1" x14ac:dyDescent="0.25">
      <c r="B78" s="297" t="s">
        <v>345</v>
      </c>
      <c r="C78" s="300" t="s">
        <v>345</v>
      </c>
      <c r="D78" s="300" t="s">
        <v>345</v>
      </c>
      <c r="E78" s="300"/>
      <c r="F78" s="300" t="s">
        <v>345</v>
      </c>
      <c r="G78" s="298" t="s">
        <v>345</v>
      </c>
      <c r="I78" s="297" t="s">
        <v>345</v>
      </c>
      <c r="J78" s="300" t="s">
        <v>345</v>
      </c>
      <c r="K78" s="300" t="s">
        <v>345</v>
      </c>
      <c r="L78" s="300" t="s">
        <v>345</v>
      </c>
      <c r="M78" s="298" t="s">
        <v>345</v>
      </c>
      <c r="AL78" s="329"/>
      <c r="AM78" s="329"/>
    </row>
    <row r="79" spans="2:39" s="376" customFormat="1" ht="11.45" customHeight="1" x14ac:dyDescent="0.25">
      <c r="B79" s="297" t="s">
        <v>345</v>
      </c>
      <c r="C79" s="300" t="s">
        <v>345</v>
      </c>
      <c r="D79" s="300" t="s">
        <v>345</v>
      </c>
      <c r="E79" s="300"/>
      <c r="F79" s="300" t="s">
        <v>345</v>
      </c>
      <c r="G79" s="298" t="s">
        <v>345</v>
      </c>
      <c r="I79" s="297" t="s">
        <v>345</v>
      </c>
      <c r="J79" s="300" t="s">
        <v>345</v>
      </c>
      <c r="K79" s="300" t="s">
        <v>345</v>
      </c>
      <c r="L79" s="300" t="s">
        <v>345</v>
      </c>
      <c r="M79" s="298" t="s">
        <v>345</v>
      </c>
      <c r="AL79" s="329"/>
      <c r="AM79" s="329"/>
    </row>
    <row r="80" spans="2:39" s="376" customFormat="1" ht="11.45" customHeight="1" x14ac:dyDescent="0.25">
      <c r="B80" s="297" t="s">
        <v>345</v>
      </c>
      <c r="C80" s="300" t="s">
        <v>345</v>
      </c>
      <c r="D80" s="300" t="s">
        <v>345</v>
      </c>
      <c r="E80" s="300"/>
      <c r="F80" s="300" t="s">
        <v>345</v>
      </c>
      <c r="G80" s="298" t="s">
        <v>345</v>
      </c>
      <c r="I80" s="297" t="s">
        <v>345</v>
      </c>
      <c r="J80" s="300" t="s">
        <v>345</v>
      </c>
      <c r="K80" s="300" t="s">
        <v>345</v>
      </c>
      <c r="L80" s="300" t="s">
        <v>345</v>
      </c>
      <c r="M80" s="298" t="s">
        <v>345</v>
      </c>
      <c r="AL80" s="329"/>
      <c r="AM80" s="329"/>
    </row>
    <row r="81" spans="2:29" s="376" customFormat="1" ht="11.45" customHeight="1" x14ac:dyDescent="0.2">
      <c r="B81" s="297" t="s">
        <v>345</v>
      </c>
      <c r="C81" s="300" t="s">
        <v>345</v>
      </c>
      <c r="D81" s="300" t="s">
        <v>345</v>
      </c>
      <c r="E81" s="300"/>
      <c r="F81" s="300" t="s">
        <v>345</v>
      </c>
      <c r="G81" s="298" t="s">
        <v>345</v>
      </c>
      <c r="I81" s="297" t="s">
        <v>345</v>
      </c>
      <c r="J81" s="300" t="s">
        <v>345</v>
      </c>
      <c r="K81" s="300" t="s">
        <v>345</v>
      </c>
      <c r="L81" s="300" t="s">
        <v>345</v>
      </c>
      <c r="M81" s="298" t="s">
        <v>345</v>
      </c>
      <c r="Z81" s="405"/>
    </row>
    <row r="82" spans="2:29" s="376" customFormat="1" ht="11.45" customHeight="1" x14ac:dyDescent="0.2">
      <c r="B82" s="297" t="s">
        <v>345</v>
      </c>
      <c r="C82" s="300" t="s">
        <v>345</v>
      </c>
      <c r="D82" s="300" t="s">
        <v>345</v>
      </c>
      <c r="E82" s="300"/>
      <c r="F82" s="300" t="s">
        <v>345</v>
      </c>
      <c r="G82" s="298" t="s">
        <v>345</v>
      </c>
      <c r="I82" s="297" t="s">
        <v>345</v>
      </c>
      <c r="J82" s="300" t="s">
        <v>345</v>
      </c>
      <c r="K82" s="300" t="s">
        <v>345</v>
      </c>
      <c r="L82" s="300" t="s">
        <v>345</v>
      </c>
      <c r="M82" s="298" t="s">
        <v>345</v>
      </c>
      <c r="Z82" s="405"/>
    </row>
    <row r="83" spans="2:29" s="376" customFormat="1" ht="11.45" customHeight="1" x14ac:dyDescent="0.2">
      <c r="B83" s="297" t="s">
        <v>345</v>
      </c>
      <c r="C83" s="300" t="s">
        <v>345</v>
      </c>
      <c r="D83" s="300" t="s">
        <v>345</v>
      </c>
      <c r="E83" s="300"/>
      <c r="F83" s="300" t="s">
        <v>345</v>
      </c>
      <c r="G83" s="298" t="s">
        <v>345</v>
      </c>
      <c r="I83" s="297" t="s">
        <v>345</v>
      </c>
      <c r="J83" s="300" t="s">
        <v>345</v>
      </c>
      <c r="K83" s="300" t="s">
        <v>345</v>
      </c>
      <c r="L83" s="300" t="s">
        <v>345</v>
      </c>
      <c r="M83" s="298" t="s">
        <v>345</v>
      </c>
      <c r="Z83" s="405"/>
    </row>
    <row r="84" spans="2:29" s="376" customFormat="1" ht="11.45" customHeight="1" x14ac:dyDescent="0.2">
      <c r="B84" s="297" t="s">
        <v>345</v>
      </c>
      <c r="C84" s="300" t="s">
        <v>345</v>
      </c>
      <c r="D84" s="300" t="s">
        <v>345</v>
      </c>
      <c r="E84" s="300"/>
      <c r="F84" s="300" t="s">
        <v>345</v>
      </c>
      <c r="G84" s="298" t="s">
        <v>345</v>
      </c>
      <c r="I84" s="297" t="s">
        <v>345</v>
      </c>
      <c r="J84" s="300" t="s">
        <v>345</v>
      </c>
      <c r="K84" s="300" t="s">
        <v>345</v>
      </c>
      <c r="L84" s="300" t="s">
        <v>345</v>
      </c>
      <c r="M84" s="298" t="s">
        <v>345</v>
      </c>
      <c r="Z84" s="405"/>
    </row>
    <row r="85" spans="2:29" s="376" customFormat="1" ht="11.45" customHeight="1" x14ac:dyDescent="0.2">
      <c r="B85" s="297">
        <f>IF('Dash Board'!T19&lt;&gt;"",'Dash Board'!T19*$K$18,"- -")</f>
        <v>0</v>
      </c>
      <c r="C85" s="300">
        <v>0</v>
      </c>
      <c r="D85" s="300">
        <v>0</v>
      </c>
      <c r="E85" s="300"/>
      <c r="F85" s="300">
        <v>0</v>
      </c>
      <c r="G85" s="298">
        <f t="shared" ref="G75:G85" si="9">IFERROR(AVERAGE(C85:F85),"- -")</f>
        <v>0</v>
      </c>
      <c r="I85" s="297">
        <f t="shared" ref="I74:I85" si="10">B85</f>
        <v>0</v>
      </c>
      <c r="J85" s="300" t="str">
        <f t="shared" ref="J76:J85" si="11">IF($C$42="Shimadzu/ UH-F1000kNX",C85,IFERROR(C85*$G$42+C85*$G$43^2+C85*$G$44^3,"- -"))</f>
        <v>- -</v>
      </c>
      <c r="K85" s="300" t="str">
        <f t="shared" ref="K76:K85" si="12">IF($C$42="Shimadzu/ UH-F1000kNX",D85,IFERROR(D85*$G$42+D85*$G$43^2+D85*$G$44^3,"- -"))</f>
        <v>- -</v>
      </c>
      <c r="L85" s="300" t="str">
        <f t="shared" ref="L76:L85" si="13">IF($C$42="Shimadzu/ UH-F1000kNX",F85,IFERROR(E85*$G$42+E85*$G$43^2+E85*$G$44^3,"- -"))</f>
        <v>- -</v>
      </c>
      <c r="M85" s="298" t="str">
        <f t="shared" ref="M75:M85" si="14">IFERROR(AVERAGE(J85:L85),"- -")</f>
        <v>- -</v>
      </c>
      <c r="Z85" s="405"/>
    </row>
    <row r="86" spans="2:29" x14ac:dyDescent="0.25">
      <c r="J86" s="406"/>
      <c r="O86" s="603" t="s">
        <v>317</v>
      </c>
      <c r="P86" s="603"/>
      <c r="Q86" s="603"/>
      <c r="S86" s="301"/>
      <c r="T86" s="301"/>
      <c r="U86" s="301"/>
      <c r="V86" s="301" t="e">
        <f>M75/B91</f>
        <v>#VALUE!</v>
      </c>
      <c r="W86" s="301"/>
      <c r="X86" s="301"/>
      <c r="Z86" s="407"/>
    </row>
    <row r="87" spans="2:29" ht="14.45" customHeight="1" x14ac:dyDescent="0.25">
      <c r="B87" s="398" t="s">
        <v>318</v>
      </c>
      <c r="H87" s="376"/>
      <c r="I87" s="376"/>
      <c r="J87" s="408"/>
      <c r="O87" s="604"/>
      <c r="P87" s="604"/>
      <c r="Q87" s="604"/>
      <c r="S87" s="301"/>
      <c r="T87" s="301"/>
      <c r="U87" s="301"/>
      <c r="V87" s="301"/>
      <c r="W87" s="301"/>
      <c r="X87" s="301"/>
      <c r="Z87" s="301"/>
    </row>
    <row r="88" spans="2:29" ht="46.5" x14ac:dyDescent="0.25">
      <c r="B88" s="409" t="s">
        <v>241</v>
      </c>
      <c r="C88" s="399" t="s">
        <v>303</v>
      </c>
      <c r="D88" s="410" t="s">
        <v>319</v>
      </c>
      <c r="E88" s="410"/>
      <c r="F88" s="410" t="s">
        <v>320</v>
      </c>
      <c r="G88" s="410" t="s">
        <v>321</v>
      </c>
      <c r="H88" s="410" t="s">
        <v>322</v>
      </c>
      <c r="I88" s="410" t="s">
        <v>323</v>
      </c>
      <c r="J88" s="410" t="s">
        <v>324</v>
      </c>
      <c r="K88" s="410" t="s">
        <v>325</v>
      </c>
      <c r="L88" s="410" t="s">
        <v>326</v>
      </c>
      <c r="M88" s="410" t="s">
        <v>116</v>
      </c>
      <c r="O88" s="410" t="s">
        <v>327</v>
      </c>
      <c r="P88" s="410" t="s">
        <v>328</v>
      </c>
      <c r="Q88" s="410" t="s">
        <v>329</v>
      </c>
      <c r="S88" s="602" t="s">
        <v>272</v>
      </c>
      <c r="T88" s="602" t="s">
        <v>273</v>
      </c>
      <c r="U88" s="602" t="s">
        <v>274</v>
      </c>
      <c r="V88" s="602" t="s">
        <v>271</v>
      </c>
      <c r="W88" s="602" t="s">
        <v>330</v>
      </c>
      <c r="X88" s="602" t="s">
        <v>270</v>
      </c>
      <c r="Z88" s="301"/>
    </row>
    <row r="89" spans="2:29" ht="14.45" customHeight="1" x14ac:dyDescent="0.25">
      <c r="B89" s="302" t="str">
        <f>G45</f>
        <v>- -</v>
      </c>
      <c r="C89" s="319">
        <v>0</v>
      </c>
      <c r="D89" s="411" t="s">
        <v>345</v>
      </c>
      <c r="E89" s="411"/>
      <c r="F89" s="411" t="s">
        <v>345</v>
      </c>
      <c r="G89" s="411" t="s">
        <v>345</v>
      </c>
      <c r="H89" s="411" t="s">
        <v>345</v>
      </c>
      <c r="I89" s="411" t="s">
        <v>345</v>
      </c>
      <c r="J89" s="412" t="s">
        <v>345</v>
      </c>
      <c r="K89" s="412" t="s">
        <v>345</v>
      </c>
      <c r="L89" s="412" t="s">
        <v>345</v>
      </c>
      <c r="M89" s="303" t="s">
        <v>345</v>
      </c>
      <c r="O89" s="411">
        <v>0</v>
      </c>
      <c r="P89" s="411">
        <v>0</v>
      </c>
      <c r="Q89" s="411">
        <v>0</v>
      </c>
      <c r="R89" s="301"/>
      <c r="S89" s="602"/>
      <c r="T89" s="602"/>
      <c r="U89" s="602"/>
      <c r="V89" s="602"/>
      <c r="W89" s="602"/>
      <c r="X89" s="602"/>
      <c r="Y89" s="301"/>
      <c r="Z89" s="301"/>
      <c r="AA89" s="301"/>
      <c r="AB89" s="301"/>
      <c r="AC89" s="301"/>
    </row>
    <row r="90" spans="2:29" x14ac:dyDescent="0.25">
      <c r="B90" s="413" t="s">
        <v>37</v>
      </c>
      <c r="C90" s="319" t="s">
        <v>7</v>
      </c>
      <c r="D90" s="304" t="s">
        <v>345</v>
      </c>
      <c r="E90" s="304"/>
      <c r="F90" s="304" t="s">
        <v>345</v>
      </c>
      <c r="G90" s="304" t="s">
        <v>345</v>
      </c>
      <c r="H90" s="304" t="s">
        <v>345</v>
      </c>
      <c r="I90" s="305" t="s">
        <v>345</v>
      </c>
      <c r="J90" s="306" t="s">
        <v>345</v>
      </c>
      <c r="K90" s="306" t="s">
        <v>345</v>
      </c>
      <c r="L90" s="306" t="s">
        <v>345</v>
      </c>
      <c r="M90" s="319" t="s">
        <v>345</v>
      </c>
      <c r="O90" s="305" t="e">
        <f t="shared" ref="O90:O99" si="15">$B$89/2</f>
        <v>#VALUE!</v>
      </c>
      <c r="P90" s="304" t="e">
        <f t="shared" ref="P90:P99" si="16">($B$93*$B$95)/SQRT(3)</f>
        <v>#VALUE!</v>
      </c>
      <c r="Q90" s="304">
        <f t="shared" ref="Q90:Q99" si="17">$B$97/SQRT(3)</f>
        <v>2.8867513459481291E-2</v>
      </c>
      <c r="S90" s="602"/>
      <c r="T90" s="602"/>
      <c r="U90" s="602"/>
      <c r="V90" s="602"/>
      <c r="W90" s="602"/>
      <c r="X90" s="602"/>
    </row>
    <row r="91" spans="2:29" x14ac:dyDescent="0.25">
      <c r="B91" s="307">
        <f>'Dash Board'!N21*K18</f>
        <v>490.33249999999998</v>
      </c>
      <c r="C91" s="319" t="s">
        <v>6</v>
      </c>
      <c r="D91" s="304" t="s">
        <v>345</v>
      </c>
      <c r="E91" s="304"/>
      <c r="F91" s="304" t="s">
        <v>345</v>
      </c>
      <c r="G91" s="304" t="s">
        <v>345</v>
      </c>
      <c r="H91" s="304" t="s">
        <v>345</v>
      </c>
      <c r="I91" s="305" t="s">
        <v>345</v>
      </c>
      <c r="J91" s="306" t="s">
        <v>345</v>
      </c>
      <c r="K91" s="306" t="s">
        <v>345</v>
      </c>
      <c r="L91" s="306" t="s">
        <v>345</v>
      </c>
      <c r="M91" s="319" t="s">
        <v>345</v>
      </c>
      <c r="O91" s="305" t="e">
        <f t="shared" si="15"/>
        <v>#VALUE!</v>
      </c>
      <c r="P91" s="304" t="e">
        <f t="shared" si="16"/>
        <v>#VALUE!</v>
      </c>
      <c r="Q91" s="304">
        <f t="shared" si="17"/>
        <v>2.8867513459481291E-2</v>
      </c>
      <c r="S91" s="602"/>
      <c r="T91" s="602"/>
      <c r="U91" s="602"/>
      <c r="V91" s="602"/>
      <c r="W91" s="602"/>
      <c r="X91" s="602"/>
    </row>
    <row r="92" spans="2:29" x14ac:dyDescent="0.25">
      <c r="B92" s="414" t="s">
        <v>331</v>
      </c>
      <c r="C92" s="319" t="s">
        <v>5</v>
      </c>
      <c r="D92" s="304" t="s">
        <v>345</v>
      </c>
      <c r="E92" s="304"/>
      <c r="F92" s="304" t="s">
        <v>345</v>
      </c>
      <c r="G92" s="304" t="s">
        <v>345</v>
      </c>
      <c r="H92" s="304" t="s">
        <v>345</v>
      </c>
      <c r="I92" s="305" t="s">
        <v>345</v>
      </c>
      <c r="J92" s="306" t="s">
        <v>345</v>
      </c>
      <c r="K92" s="306" t="s">
        <v>345</v>
      </c>
      <c r="L92" s="306" t="s">
        <v>345</v>
      </c>
      <c r="M92" s="319" t="s">
        <v>345</v>
      </c>
      <c r="O92" s="305" t="e">
        <f t="shared" si="15"/>
        <v>#VALUE!</v>
      </c>
      <c r="P92" s="304" t="e">
        <f t="shared" si="16"/>
        <v>#VALUE!</v>
      </c>
      <c r="Q92" s="304">
        <f t="shared" si="17"/>
        <v>2.8867513459481291E-2</v>
      </c>
      <c r="S92" s="308" t="s">
        <v>147</v>
      </c>
      <c r="T92" s="308" t="s">
        <v>147</v>
      </c>
      <c r="U92" s="308" t="s">
        <v>147</v>
      </c>
      <c r="V92" s="308" t="s">
        <v>147</v>
      </c>
      <c r="W92" s="308" t="s">
        <v>147</v>
      </c>
      <c r="X92" s="308" t="s">
        <v>147</v>
      </c>
    </row>
    <row r="93" spans="2:29" x14ac:dyDescent="0.25">
      <c r="B93" s="307">
        <v>3.0000000000000001E-3</v>
      </c>
      <c r="C93" s="319" t="s">
        <v>24</v>
      </c>
      <c r="D93" s="304" t="s">
        <v>345</v>
      </c>
      <c r="E93" s="304"/>
      <c r="F93" s="304" t="s">
        <v>345</v>
      </c>
      <c r="G93" s="304" t="s">
        <v>345</v>
      </c>
      <c r="H93" s="304" t="s">
        <v>345</v>
      </c>
      <c r="I93" s="305" t="s">
        <v>345</v>
      </c>
      <c r="J93" s="306" t="s">
        <v>345</v>
      </c>
      <c r="K93" s="306" t="s">
        <v>345</v>
      </c>
      <c r="L93" s="306" t="s">
        <v>345</v>
      </c>
      <c r="M93" s="319" t="s">
        <v>345</v>
      </c>
      <c r="O93" s="305" t="e">
        <f t="shared" si="15"/>
        <v>#VALUE!</v>
      </c>
      <c r="P93" s="304" t="e">
        <f t="shared" si="16"/>
        <v>#VALUE!</v>
      </c>
      <c r="Q93" s="304">
        <f t="shared" si="17"/>
        <v>2.8867513459481291E-2</v>
      </c>
      <c r="S93" s="308" t="str">
        <f>IF(B75&lt;&gt;"- -",IF(ABS(J90)&lt;=0.5,0.5,IF(ABS(J90)&lt;=1,1,IF(ABS(J90)&lt;=2,2,IF(ABS(J90)&lt;=3,3,"-")))),"- -")</f>
        <v>- -</v>
      </c>
      <c r="T93" s="308" t="str">
        <f>IF(B75&lt;&gt;"- -",IF(K90&lt;=0.5,0.5,IF(K90&lt;=1,1,IF(K90&lt;=2,2,IF(K90&lt;=3,3,"-")))),"- -")</f>
        <v>- -</v>
      </c>
      <c r="U93" s="308" t="str">
        <f>IF(B75&lt;&gt;"- -",IF(ABS(L90)&lt;=0.05,0.5,IF(ABS(L90)&lt;=0.1,1,IF(ABS(L90)&lt;=0.2,2,IF(ABS(L90)&lt;=0.3,3,"-")))),"- -")</f>
        <v>- -</v>
      </c>
      <c r="V93" s="308" t="str">
        <f>IF(B75&lt;&gt;"- -",IF($V$86&gt;=400,0.5,IF($V$86&gt;=200,1,IF($V$86&gt;=100,2,IF($V$86&gt;=67,3,"-")))),"- -")</f>
        <v>- -</v>
      </c>
      <c r="W93" s="308" t="str">
        <f>IF(B75&lt;&gt;"- -",IF($B$89&lt;=0.12,0.5,IF($B$89&lt;=0.25,1,IF($B$89&lt;=0.5,2,"-"))),"- -")</f>
        <v>- -</v>
      </c>
      <c r="X93" s="308" t="str">
        <f>IF(B75&lt;&gt;"- -",IF(COUNT(S93:W93)=5,MAX(S93,T93,U93,W93),"-"),"- -")</f>
        <v>- -</v>
      </c>
    </row>
    <row r="94" spans="2:29" x14ac:dyDescent="0.25">
      <c r="B94" s="307" t="s">
        <v>244</v>
      </c>
      <c r="C94" s="319" t="s">
        <v>25</v>
      </c>
      <c r="D94" s="304" t="s">
        <v>345</v>
      </c>
      <c r="E94" s="304"/>
      <c r="F94" s="304" t="s">
        <v>345</v>
      </c>
      <c r="G94" s="304" t="s">
        <v>345</v>
      </c>
      <c r="H94" s="304" t="s">
        <v>345</v>
      </c>
      <c r="I94" s="305" t="s">
        <v>345</v>
      </c>
      <c r="J94" s="306" t="s">
        <v>345</v>
      </c>
      <c r="K94" s="306" t="s">
        <v>345</v>
      </c>
      <c r="L94" s="306" t="s">
        <v>345</v>
      </c>
      <c r="M94" s="319" t="s">
        <v>345</v>
      </c>
      <c r="O94" s="305" t="e">
        <f t="shared" si="15"/>
        <v>#VALUE!</v>
      </c>
      <c r="P94" s="304" t="e">
        <f t="shared" si="16"/>
        <v>#VALUE!</v>
      </c>
      <c r="Q94" s="304">
        <f t="shared" si="17"/>
        <v>2.8867513459481291E-2</v>
      </c>
      <c r="S94" s="308" t="str">
        <f t="shared" ref="S94:S102" si="18">IF(B76&lt;&gt;"- -",IF(ABS(J91)&lt;=0.5,0.5,IF(ABS(J91)&lt;=1,1,IF(ABS(J91)&lt;=2,2,IF(ABS(J91)&lt;=3,3,"-")))),"- -")</f>
        <v>- -</v>
      </c>
      <c r="T94" s="308" t="str">
        <f t="shared" ref="T94:T102" si="19">IF(B76&lt;&gt;"- -",IF(K91&lt;=0.5,0.5,IF(K91&lt;=1,1,IF(K91&lt;=2,2,IF(K91&lt;=3,3,"-")))),"- -")</f>
        <v>- -</v>
      </c>
      <c r="U94" s="308" t="str">
        <f t="shared" ref="U94:U102" si="20">IF(B76&lt;&gt;"- -",IF(ABS(L91)&lt;=0.05,0.5,IF(ABS(L91)&lt;=0.1,1,IF(ABS(L91)&lt;=0.2,2,IF(ABS(L91)&lt;=0.3,3,"-")))),"- -")</f>
        <v>- -</v>
      </c>
      <c r="V94" s="308" t="str">
        <f t="shared" ref="V94:V102" si="21">IF(B76&lt;&gt;"- -",IF($V$86&gt;=400,0.5,IF($V$86&gt;=200,1,IF($V$86&gt;=100,2,IF($V$86&gt;=67,3,"-")))),"- -")</f>
        <v>- -</v>
      </c>
      <c r="W94" s="308" t="str">
        <f t="shared" ref="W94:W102" si="22">IF(B76&lt;&gt;"- -",IF($B$89&lt;=0.12,0.5,IF($B$89&lt;=0.25,1,IF($B$89&lt;=0.5,2,"-"))),"- -")</f>
        <v>- -</v>
      </c>
      <c r="X94" s="308" t="str">
        <f t="shared" ref="X94:X102" si="23">IF(B76&lt;&gt;"- -",MAX(S94,T94,U94,W94),"- -")</f>
        <v>- -</v>
      </c>
    </row>
    <row r="95" spans="2:29" x14ac:dyDescent="0.25">
      <c r="B95" s="309" t="e">
        <f>ABS(K43-L43)</f>
        <v>#VALUE!</v>
      </c>
      <c r="C95" s="319" t="s">
        <v>26</v>
      </c>
      <c r="D95" s="304" t="s">
        <v>345</v>
      </c>
      <c r="E95" s="304"/>
      <c r="F95" s="304" t="s">
        <v>345</v>
      </c>
      <c r="G95" s="304" t="s">
        <v>345</v>
      </c>
      <c r="H95" s="304" t="s">
        <v>345</v>
      </c>
      <c r="I95" s="305" t="s">
        <v>345</v>
      </c>
      <c r="J95" s="306" t="s">
        <v>345</v>
      </c>
      <c r="K95" s="306" t="s">
        <v>345</v>
      </c>
      <c r="L95" s="306" t="s">
        <v>345</v>
      </c>
      <c r="M95" s="319" t="s">
        <v>345</v>
      </c>
      <c r="O95" s="305" t="e">
        <f t="shared" si="15"/>
        <v>#VALUE!</v>
      </c>
      <c r="P95" s="304" t="e">
        <f t="shared" si="16"/>
        <v>#VALUE!</v>
      </c>
      <c r="Q95" s="304">
        <f t="shared" si="17"/>
        <v>2.8867513459481291E-2</v>
      </c>
      <c r="S95" s="308" t="str">
        <f t="shared" si="18"/>
        <v>- -</v>
      </c>
      <c r="T95" s="308" t="str">
        <f t="shared" si="19"/>
        <v>- -</v>
      </c>
      <c r="U95" s="308" t="str">
        <f t="shared" si="20"/>
        <v>- -</v>
      </c>
      <c r="V95" s="308" t="str">
        <f t="shared" si="21"/>
        <v>- -</v>
      </c>
      <c r="W95" s="308" t="str">
        <f t="shared" si="22"/>
        <v>- -</v>
      </c>
      <c r="X95" s="308" t="str">
        <f t="shared" si="23"/>
        <v>- -</v>
      </c>
    </row>
    <row r="96" spans="2:29" x14ac:dyDescent="0.25">
      <c r="B96" s="307" t="s">
        <v>245</v>
      </c>
      <c r="C96" s="319" t="s">
        <v>27</v>
      </c>
      <c r="D96" s="304" t="s">
        <v>345</v>
      </c>
      <c r="E96" s="304"/>
      <c r="F96" s="304" t="s">
        <v>345</v>
      </c>
      <c r="G96" s="304" t="s">
        <v>345</v>
      </c>
      <c r="H96" s="304" t="s">
        <v>345</v>
      </c>
      <c r="I96" s="305" t="s">
        <v>345</v>
      </c>
      <c r="J96" s="306" t="s">
        <v>345</v>
      </c>
      <c r="K96" s="306" t="s">
        <v>345</v>
      </c>
      <c r="L96" s="306" t="s">
        <v>345</v>
      </c>
      <c r="M96" s="319" t="s">
        <v>345</v>
      </c>
      <c r="O96" s="305" t="e">
        <f t="shared" si="15"/>
        <v>#VALUE!</v>
      </c>
      <c r="P96" s="304" t="e">
        <f t="shared" si="16"/>
        <v>#VALUE!</v>
      </c>
      <c r="Q96" s="304">
        <f t="shared" si="17"/>
        <v>2.8867513459481291E-2</v>
      </c>
      <c r="S96" s="308" t="str">
        <f t="shared" si="18"/>
        <v>- -</v>
      </c>
      <c r="T96" s="308" t="str">
        <f t="shared" si="19"/>
        <v>- -</v>
      </c>
      <c r="U96" s="308" t="str">
        <f t="shared" si="20"/>
        <v>- -</v>
      </c>
      <c r="V96" s="308" t="str">
        <f t="shared" si="21"/>
        <v>- -</v>
      </c>
      <c r="W96" s="308" t="str">
        <f t="shared" si="22"/>
        <v>- -</v>
      </c>
      <c r="X96" s="308" t="str">
        <f t="shared" si="23"/>
        <v>- -</v>
      </c>
    </row>
    <row r="97" spans="2:24" x14ac:dyDescent="0.25">
      <c r="B97" s="307">
        <v>0.05</v>
      </c>
      <c r="C97" s="319" t="s">
        <v>28</v>
      </c>
      <c r="D97" s="304" t="s">
        <v>345</v>
      </c>
      <c r="E97" s="304"/>
      <c r="F97" s="304" t="s">
        <v>345</v>
      </c>
      <c r="G97" s="304" t="s">
        <v>345</v>
      </c>
      <c r="H97" s="304" t="s">
        <v>345</v>
      </c>
      <c r="I97" s="305" t="s">
        <v>345</v>
      </c>
      <c r="J97" s="306" t="s">
        <v>345</v>
      </c>
      <c r="K97" s="306" t="s">
        <v>345</v>
      </c>
      <c r="L97" s="306" t="s">
        <v>345</v>
      </c>
      <c r="M97" s="319" t="s">
        <v>345</v>
      </c>
      <c r="O97" s="305" t="e">
        <f t="shared" si="15"/>
        <v>#VALUE!</v>
      </c>
      <c r="P97" s="304" t="e">
        <f t="shared" si="16"/>
        <v>#VALUE!</v>
      </c>
      <c r="Q97" s="304">
        <f t="shared" si="17"/>
        <v>2.8867513459481291E-2</v>
      </c>
      <c r="S97" s="308" t="str">
        <f t="shared" si="18"/>
        <v>- -</v>
      </c>
      <c r="T97" s="308" t="str">
        <f t="shared" si="19"/>
        <v>- -</v>
      </c>
      <c r="U97" s="308" t="str">
        <f t="shared" si="20"/>
        <v>- -</v>
      </c>
      <c r="V97" s="308" t="str">
        <f t="shared" si="21"/>
        <v>- -</v>
      </c>
      <c r="W97" s="308" t="str">
        <f t="shared" si="22"/>
        <v>- -</v>
      </c>
      <c r="X97" s="308" t="str">
        <f t="shared" si="23"/>
        <v>- -</v>
      </c>
    </row>
    <row r="98" spans="2:24" x14ac:dyDescent="0.25">
      <c r="B98" s="376"/>
      <c r="C98" s="319" t="s">
        <v>29</v>
      </c>
      <c r="D98" s="304" t="s">
        <v>345</v>
      </c>
      <c r="E98" s="304"/>
      <c r="F98" s="304" t="s">
        <v>345</v>
      </c>
      <c r="G98" s="304" t="s">
        <v>345</v>
      </c>
      <c r="H98" s="304" t="s">
        <v>345</v>
      </c>
      <c r="I98" s="305" t="s">
        <v>345</v>
      </c>
      <c r="J98" s="306" t="s">
        <v>345</v>
      </c>
      <c r="K98" s="306" t="s">
        <v>345</v>
      </c>
      <c r="L98" s="306" t="s">
        <v>345</v>
      </c>
      <c r="M98" s="319" t="s">
        <v>345</v>
      </c>
      <c r="O98" s="305" t="e">
        <f t="shared" si="15"/>
        <v>#VALUE!</v>
      </c>
      <c r="P98" s="304" t="e">
        <f t="shared" si="16"/>
        <v>#VALUE!</v>
      </c>
      <c r="Q98" s="304">
        <f t="shared" si="17"/>
        <v>2.8867513459481291E-2</v>
      </c>
      <c r="S98" s="308" t="str">
        <f t="shared" si="18"/>
        <v>- -</v>
      </c>
      <c r="T98" s="308" t="str">
        <f t="shared" si="19"/>
        <v>- -</v>
      </c>
      <c r="U98" s="308" t="str">
        <f t="shared" si="20"/>
        <v>- -</v>
      </c>
      <c r="V98" s="308" t="str">
        <f t="shared" si="21"/>
        <v>- -</v>
      </c>
      <c r="W98" s="308" t="str">
        <f t="shared" si="22"/>
        <v>- -</v>
      </c>
      <c r="X98" s="308" t="str">
        <f t="shared" si="23"/>
        <v>- -</v>
      </c>
    </row>
    <row r="99" spans="2:24" x14ac:dyDescent="0.25">
      <c r="B99" s="376"/>
      <c r="C99" s="319" t="s">
        <v>30</v>
      </c>
      <c r="D99" s="304" t="s">
        <v>345</v>
      </c>
      <c r="E99" s="304"/>
      <c r="F99" s="304" t="s">
        <v>345</v>
      </c>
      <c r="G99" s="304" t="s">
        <v>345</v>
      </c>
      <c r="H99" s="304" t="s">
        <v>345</v>
      </c>
      <c r="I99" s="305" t="s">
        <v>345</v>
      </c>
      <c r="J99" s="306" t="s">
        <v>345</v>
      </c>
      <c r="K99" s="306" t="s">
        <v>345</v>
      </c>
      <c r="L99" s="306" t="s">
        <v>345</v>
      </c>
      <c r="M99" s="319" t="s">
        <v>345</v>
      </c>
      <c r="O99" s="305" t="e">
        <f t="shared" si="15"/>
        <v>#VALUE!</v>
      </c>
      <c r="P99" s="304" t="e">
        <f t="shared" si="16"/>
        <v>#VALUE!</v>
      </c>
      <c r="Q99" s="304">
        <f t="shared" si="17"/>
        <v>2.8867513459481291E-2</v>
      </c>
      <c r="S99" s="308" t="str">
        <f t="shared" si="18"/>
        <v>- -</v>
      </c>
      <c r="T99" s="308" t="str">
        <f t="shared" si="19"/>
        <v>- -</v>
      </c>
      <c r="U99" s="308" t="str">
        <f t="shared" si="20"/>
        <v>- -</v>
      </c>
      <c r="V99" s="308" t="str">
        <f t="shared" si="21"/>
        <v>- -</v>
      </c>
      <c r="W99" s="308" t="str">
        <f t="shared" si="22"/>
        <v>- -</v>
      </c>
      <c r="X99" s="308" t="str">
        <f t="shared" si="23"/>
        <v>- -</v>
      </c>
    </row>
    <row r="100" spans="2:24" x14ac:dyDescent="0.25">
      <c r="C100" s="415"/>
      <c r="D100" s="406"/>
      <c r="M100" s="427">
        <f>COUNT(D90:D99)</f>
        <v>0</v>
      </c>
      <c r="S100" s="308" t="str">
        <f t="shared" si="18"/>
        <v>- -</v>
      </c>
      <c r="T100" s="308" t="str">
        <f t="shared" si="19"/>
        <v>- -</v>
      </c>
      <c r="U100" s="308" t="str">
        <f t="shared" si="20"/>
        <v>- -</v>
      </c>
      <c r="V100" s="308" t="str">
        <f t="shared" si="21"/>
        <v>- -</v>
      </c>
      <c r="W100" s="308" t="str">
        <f t="shared" si="22"/>
        <v>- -</v>
      </c>
      <c r="X100" s="308" t="str">
        <f t="shared" si="23"/>
        <v>- -</v>
      </c>
    </row>
    <row r="101" spans="2:24" x14ac:dyDescent="0.25">
      <c r="B101" s="313" t="s">
        <v>311</v>
      </c>
      <c r="C101" s="323"/>
      <c r="D101" s="323"/>
      <c r="E101" s="323"/>
      <c r="F101" s="323"/>
      <c r="G101" s="323"/>
      <c r="H101" s="323"/>
      <c r="I101" s="313" t="s">
        <v>186</v>
      </c>
      <c r="S101" s="308" t="str">
        <f t="shared" si="18"/>
        <v>- -</v>
      </c>
      <c r="T101" s="308" t="str">
        <f t="shared" si="19"/>
        <v>- -</v>
      </c>
      <c r="U101" s="308" t="str">
        <f t="shared" si="20"/>
        <v>- -</v>
      </c>
      <c r="V101" s="308" t="str">
        <f t="shared" si="21"/>
        <v>- -</v>
      </c>
      <c r="W101" s="308" t="str">
        <f t="shared" si="22"/>
        <v>- -</v>
      </c>
      <c r="X101" s="308" t="str">
        <f t="shared" si="23"/>
        <v>- -</v>
      </c>
    </row>
    <row r="102" spans="2:24" x14ac:dyDescent="0.25">
      <c r="L102" s="376"/>
      <c r="S102" s="308" t="str">
        <f t="shared" si="18"/>
        <v>- -</v>
      </c>
      <c r="T102" s="308" t="str">
        <f t="shared" si="19"/>
        <v>- -</v>
      </c>
      <c r="U102" s="308" t="str">
        <f t="shared" si="20"/>
        <v>- -</v>
      </c>
      <c r="V102" s="308" t="str">
        <f t="shared" si="21"/>
        <v>- -</v>
      </c>
      <c r="W102" s="308" t="str">
        <f t="shared" si="22"/>
        <v>- -</v>
      </c>
      <c r="X102" s="308" t="str">
        <f t="shared" si="23"/>
        <v>- -</v>
      </c>
    </row>
    <row r="103" spans="2:24" x14ac:dyDescent="0.25">
      <c r="B103" s="397"/>
      <c r="C103" s="397"/>
      <c r="G103" s="397"/>
      <c r="I103" s="397"/>
      <c r="J103" s="397"/>
      <c r="L103" s="376"/>
    </row>
    <row r="104" spans="2:24" x14ac:dyDescent="0.25">
      <c r="B104" s="601" t="s">
        <v>312</v>
      </c>
      <c r="C104" s="601"/>
      <c r="D104" s="323"/>
      <c r="E104" s="323"/>
      <c r="F104" s="601" t="s">
        <v>313</v>
      </c>
      <c r="G104" s="601"/>
    </row>
    <row r="105" spans="2:24" x14ac:dyDescent="0.25">
      <c r="B105" s="323"/>
      <c r="I105" s="323" t="s">
        <v>314</v>
      </c>
      <c r="J105" s="745"/>
    </row>
  </sheetData>
  <mergeCells count="38">
    <mergeCell ref="X88:X91"/>
    <mergeCell ref="B104:C104"/>
    <mergeCell ref="F104:G104"/>
    <mergeCell ref="O86:Q87"/>
    <mergeCell ref="S88:S91"/>
    <mergeCell ref="T88:T91"/>
    <mergeCell ref="U88:U91"/>
    <mergeCell ref="V88:V91"/>
    <mergeCell ref="W88:W91"/>
    <mergeCell ref="J72:M72"/>
    <mergeCell ref="B51:C51"/>
    <mergeCell ref="F51:G51"/>
    <mergeCell ref="B72:B73"/>
    <mergeCell ref="C72:G72"/>
    <mergeCell ref="I72:I73"/>
    <mergeCell ref="D6:H6"/>
    <mergeCell ref="D12:H12"/>
    <mergeCell ref="D13:H13"/>
    <mergeCell ref="D7:H7"/>
    <mergeCell ref="D9:H9"/>
    <mergeCell ref="D10:H10"/>
    <mergeCell ref="B1:M1"/>
    <mergeCell ref="D2:L2"/>
    <mergeCell ref="D3:L3"/>
    <mergeCell ref="D4:L4"/>
    <mergeCell ref="D5:H5"/>
    <mergeCell ref="C47:D47"/>
    <mergeCell ref="B41:H41"/>
    <mergeCell ref="G43:H43"/>
    <mergeCell ref="G44:H44"/>
    <mergeCell ref="G45:H45"/>
    <mergeCell ref="G46:H46"/>
    <mergeCell ref="C43:D43"/>
    <mergeCell ref="C44:D44"/>
    <mergeCell ref="C45:D45"/>
    <mergeCell ref="C46:D46"/>
    <mergeCell ref="C42:D42"/>
    <mergeCell ref="G42:H42"/>
  </mergeCells>
  <dataValidations count="2">
    <dataValidation type="list" allowBlank="1" showInputMessage="1" showErrorMessage="1" sqref="B51:C51 F51:G51 B104:C104 F104:G104" xr:uid="{00000000-0002-0000-0400-000000000000}">
      <formula1>"ACCG, RFM, MDA"</formula1>
    </dataValidation>
    <dataValidation type="list" allowBlank="1" showInputMessage="1" showErrorMessage="1" sqref="C42:D42" xr:uid="{00000000-0002-0000-0400-000001000000}">
      <formula1>LoadCell</formula1>
    </dataValidation>
  </dataValidations>
  <pageMargins left="0.23622047244094491" right="3.937007874015748E-2" top="0.5" bottom="0.5" header="0.25" footer="0.31496062992125984"/>
  <pageSetup paperSize="9" fitToHeight="0" orientation="portrait" r:id="rId1"/>
  <headerFooter>
    <oddHeader>&amp;L&amp;8DMP41 FORCE CALIBRATION SOFTWARE
Ver. 1 Rev.0</oddHeader>
    <oddFooter>&amp;LPage &amp;P of &amp;N&amp;C&amp;8Copyright  @ 2026. All rights reserved.&amp;R&amp;8Date reported: &amp;D
&amp;T</oddFooter>
  </headerFooter>
  <rowBreaks count="1" manualBreakCount="1">
    <brk id="53" max="16383" man="1"/>
  </rowBreaks>
  <ignoredErrors>
    <ignoredError sqref="D18 G18 B18 B20 D20:D21 G20"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6:AZ89"/>
  <sheetViews>
    <sheetView view="pageBreakPreview" topLeftCell="A47" zoomScale="115" zoomScaleNormal="130" zoomScaleSheetLayoutView="178" zoomScalePageLayoutView="115" workbookViewId="0">
      <selection activeCell="L58" sqref="L58:N58"/>
    </sheetView>
  </sheetViews>
  <sheetFormatPr defaultRowHeight="15" x14ac:dyDescent="0.25"/>
  <cols>
    <col min="1" max="1" width="2.28515625" customWidth="1"/>
    <col min="2" max="2" width="4.7109375" customWidth="1"/>
    <col min="3" max="3" width="3.42578125" customWidth="1"/>
    <col min="4" max="4" width="3.28515625" customWidth="1"/>
    <col min="5" max="5" width="2" customWidth="1"/>
    <col min="6" max="6" width="5.85546875" customWidth="1"/>
    <col min="7" max="7" width="2" customWidth="1"/>
    <col min="8" max="8" width="9.5703125" customWidth="1"/>
    <col min="9" max="9" width="5.7109375" customWidth="1"/>
    <col min="10" max="10" width="9.42578125" customWidth="1"/>
    <col min="11" max="11" width="13.85546875" customWidth="1"/>
    <col min="12" max="12" width="3.42578125" customWidth="1"/>
    <col min="13" max="13" width="5.28515625" customWidth="1"/>
    <col min="14" max="14" width="5.42578125" customWidth="1"/>
    <col min="15" max="15" width="3.42578125" customWidth="1"/>
    <col min="16" max="16" width="0.7109375" customWidth="1"/>
    <col min="17" max="17" width="4.42578125" customWidth="1"/>
    <col min="18" max="18" width="1.7109375" customWidth="1"/>
    <col min="19" max="23" width="3.42578125" customWidth="1"/>
    <col min="24" max="24" width="3.140625" customWidth="1"/>
    <col min="25" max="25" width="3.7109375" customWidth="1"/>
    <col min="26" max="26" width="3.5703125" customWidth="1"/>
    <col min="27" max="27" width="3.7109375" customWidth="1"/>
    <col min="28" max="28" width="255.7109375" hidden="1" customWidth="1"/>
    <col min="29" max="37" width="3.7109375" customWidth="1"/>
  </cols>
  <sheetData>
    <row r="6" spans="1:28" ht="18.75" x14ac:dyDescent="0.25">
      <c r="A6" s="605" t="s">
        <v>133</v>
      </c>
      <c r="B6" s="605"/>
      <c r="C6" s="605"/>
      <c r="D6" s="605"/>
      <c r="E6" s="605"/>
      <c r="F6" s="605"/>
      <c r="G6" s="605"/>
      <c r="H6" s="605"/>
      <c r="I6" s="605"/>
      <c r="J6" s="605"/>
      <c r="K6" s="605"/>
      <c r="L6" s="605"/>
      <c r="M6" s="605"/>
      <c r="N6" s="605"/>
      <c r="O6" s="605"/>
      <c r="P6" s="605"/>
      <c r="Q6" s="605"/>
      <c r="R6" s="605"/>
      <c r="S6" s="73"/>
      <c r="T6" s="73"/>
      <c r="U6" s="73"/>
      <c r="V6" s="73"/>
      <c r="W6" s="73"/>
      <c r="X6" s="73"/>
      <c r="Y6" s="73"/>
      <c r="Z6" s="73"/>
    </row>
    <row r="7" spans="1:28" ht="19.5" x14ac:dyDescent="0.3">
      <c r="A7" s="606" t="str">
        <f>"No. "&amp;'Dash Board'!D18</f>
        <v>No. 03-2026-FORC-0087</v>
      </c>
      <c r="B7" s="606"/>
      <c r="C7" s="606"/>
      <c r="D7" s="606"/>
      <c r="E7" s="606"/>
      <c r="F7" s="606"/>
      <c r="G7" s="606"/>
      <c r="H7" s="606"/>
      <c r="I7" s="606"/>
      <c r="J7" s="606"/>
      <c r="K7" s="606"/>
      <c r="L7" s="606"/>
      <c r="M7" s="606"/>
      <c r="N7" s="606"/>
      <c r="O7" s="606"/>
      <c r="P7" s="606"/>
      <c r="Q7" s="606"/>
      <c r="R7" s="606"/>
      <c r="S7" s="73"/>
      <c r="T7" s="73"/>
      <c r="U7" s="73"/>
      <c r="V7" s="74"/>
    </row>
    <row r="8" spans="1:28" ht="15" customHeight="1" x14ac:dyDescent="0.25"/>
    <row r="9" spans="1:28" ht="15.75" x14ac:dyDescent="0.25">
      <c r="A9" s="26" t="s">
        <v>43</v>
      </c>
      <c r="B9" s="76"/>
      <c r="C9" s="76"/>
      <c r="D9" s="76"/>
      <c r="E9" s="26"/>
      <c r="F9" s="26"/>
      <c r="G9" s="77" t="s">
        <v>134</v>
      </c>
      <c r="H9" s="607">
        <f>'Dash Board'!D17</f>
        <v>46134</v>
      </c>
      <c r="I9" s="607"/>
      <c r="J9" s="607"/>
      <c r="K9" s="607"/>
      <c r="L9" s="607"/>
      <c r="M9" s="607"/>
      <c r="N9" s="607"/>
      <c r="O9" s="607"/>
      <c r="P9" s="607"/>
      <c r="Q9" s="607"/>
      <c r="R9" s="607"/>
      <c r="S9" s="269"/>
      <c r="T9" s="269"/>
      <c r="U9" s="269"/>
      <c r="V9" s="269"/>
      <c r="W9" s="269"/>
      <c r="X9" s="269"/>
      <c r="Y9" s="269"/>
      <c r="Z9" s="269"/>
      <c r="AA9" s="75"/>
      <c r="AB9" s="75"/>
    </row>
    <row r="10" spans="1:28" ht="15.75" x14ac:dyDescent="0.25">
      <c r="A10" s="26" t="s">
        <v>41</v>
      </c>
      <c r="B10" s="76"/>
      <c r="C10" s="76"/>
      <c r="D10" s="76"/>
      <c r="E10" s="26"/>
      <c r="F10" s="26"/>
      <c r="G10" s="77" t="s">
        <v>134</v>
      </c>
      <c r="H10" s="607" t="str">
        <f>'Dash Board'!D19</f>
        <v>Axle Weighing Scale</v>
      </c>
      <c r="I10" s="607"/>
      <c r="J10" s="607"/>
      <c r="K10" s="607"/>
      <c r="L10" s="607"/>
      <c r="M10" s="607"/>
      <c r="N10" s="607"/>
      <c r="O10" s="607"/>
      <c r="P10" s="607"/>
      <c r="Q10" s="607"/>
      <c r="R10" s="607"/>
      <c r="S10" s="270"/>
      <c r="T10" s="270"/>
      <c r="U10" s="270"/>
      <c r="V10" s="270"/>
      <c r="W10" s="270"/>
      <c r="X10" s="270"/>
      <c r="Y10" s="270"/>
      <c r="Z10" s="270"/>
      <c r="AA10" s="75"/>
      <c r="AB10" s="75"/>
    </row>
    <row r="11" spans="1:28" ht="15.75" x14ac:dyDescent="0.25">
      <c r="A11" s="76"/>
      <c r="B11" s="26" t="s">
        <v>49</v>
      </c>
      <c r="C11" s="76"/>
      <c r="D11" s="76"/>
      <c r="E11" s="76"/>
      <c r="F11" s="26"/>
      <c r="G11" s="77" t="s">
        <v>134</v>
      </c>
      <c r="H11" s="607" t="str">
        <f>'Calibration Data'!L10</f>
        <v>15000 kgf</v>
      </c>
      <c r="I11" s="607"/>
      <c r="J11" s="607"/>
      <c r="K11" s="607"/>
      <c r="L11" s="607"/>
      <c r="M11" s="607"/>
      <c r="N11" s="607"/>
      <c r="O11" s="607"/>
      <c r="P11" s="607"/>
      <c r="Q11" s="607"/>
      <c r="R11" s="607"/>
      <c r="S11" s="270"/>
      <c r="T11" s="270"/>
      <c r="U11" s="270"/>
      <c r="V11" s="270"/>
      <c r="W11" s="270"/>
      <c r="X11" s="270"/>
      <c r="Y11" s="270"/>
      <c r="Z11" s="270"/>
      <c r="AA11" s="75"/>
      <c r="AB11" s="75"/>
    </row>
    <row r="12" spans="1:28" ht="15.75" x14ac:dyDescent="0.25">
      <c r="A12" s="76"/>
      <c r="B12" s="26" t="s">
        <v>135</v>
      </c>
      <c r="C12" s="76"/>
      <c r="D12" s="76"/>
      <c r="E12" s="76"/>
      <c r="F12" s="26"/>
      <c r="G12" s="77" t="s">
        <v>134</v>
      </c>
      <c r="H12" s="607" t="str">
        <f>'Calibration Data'!L11</f>
        <v>0 kgf to 15000 kgf</v>
      </c>
      <c r="I12" s="607"/>
      <c r="J12" s="607"/>
      <c r="K12" s="607"/>
      <c r="L12" s="607"/>
      <c r="M12" s="607"/>
      <c r="N12" s="607"/>
      <c r="O12" s="607"/>
      <c r="P12" s="607"/>
      <c r="Q12" s="607"/>
      <c r="R12" s="607"/>
      <c r="S12" s="270"/>
      <c r="T12" s="270"/>
      <c r="U12" s="270"/>
      <c r="V12" s="270"/>
      <c r="W12" s="270"/>
      <c r="X12" s="270"/>
      <c r="Y12" s="270"/>
      <c r="Z12" s="270"/>
      <c r="AA12" s="75"/>
      <c r="AB12" s="75"/>
    </row>
    <row r="13" spans="1:28" ht="15.75" x14ac:dyDescent="0.25">
      <c r="A13" s="76"/>
      <c r="B13" s="26" t="str">
        <f>'Dash Board'!K21</f>
        <v>Resolution                           :</v>
      </c>
      <c r="C13" s="76"/>
      <c r="D13" s="76"/>
      <c r="E13" s="76"/>
      <c r="F13" s="26"/>
      <c r="G13" s="77" t="s">
        <v>134</v>
      </c>
      <c r="H13" s="607" t="str">
        <f>'Calibration Data'!L12</f>
        <v xml:space="preserve">50 </v>
      </c>
      <c r="I13" s="607"/>
      <c r="J13" s="607"/>
      <c r="K13" s="607"/>
      <c r="L13" s="607"/>
      <c r="M13" s="607"/>
      <c r="N13" s="607"/>
      <c r="O13" s="607"/>
      <c r="P13" s="607"/>
      <c r="Q13" s="607"/>
      <c r="R13" s="607"/>
      <c r="S13" s="270"/>
      <c r="T13" s="270"/>
      <c r="U13" s="270"/>
      <c r="V13" s="270"/>
      <c r="W13" s="270"/>
      <c r="X13" s="270"/>
      <c r="Y13" s="270"/>
      <c r="Z13" s="270"/>
      <c r="AA13" s="75"/>
      <c r="AB13" s="75"/>
    </row>
    <row r="14" spans="1:28" ht="15.75" x14ac:dyDescent="0.25">
      <c r="A14" s="76"/>
      <c r="B14" s="26" t="s">
        <v>54</v>
      </c>
      <c r="C14" s="76"/>
      <c r="D14" s="76"/>
      <c r="E14" s="76"/>
      <c r="F14" s="26"/>
      <c r="G14" s="77" t="s">
        <v>134</v>
      </c>
      <c r="H14" s="607" t="str">
        <f>'Calibration Data'!C11</f>
        <v>LS 630 W. PAD</v>
      </c>
      <c r="I14" s="607"/>
      <c r="J14" s="607"/>
      <c r="K14" s="607"/>
      <c r="L14" s="607"/>
      <c r="M14" s="607"/>
      <c r="N14" s="607"/>
      <c r="O14" s="607"/>
      <c r="P14" s="607"/>
      <c r="Q14" s="607"/>
      <c r="R14" s="607"/>
      <c r="S14" s="270"/>
      <c r="T14" s="270"/>
      <c r="U14" s="270"/>
      <c r="V14" s="270"/>
      <c r="W14" s="270"/>
      <c r="X14" s="270"/>
      <c r="Y14" s="270"/>
      <c r="Z14" s="270"/>
      <c r="AA14" s="75"/>
      <c r="AB14" s="75"/>
    </row>
    <row r="15" spans="1:28" ht="15.75" x14ac:dyDescent="0.25">
      <c r="A15" s="76"/>
      <c r="B15" s="26" t="s">
        <v>119</v>
      </c>
      <c r="C15" s="76"/>
      <c r="D15" s="76"/>
      <c r="E15" s="76"/>
      <c r="F15" s="76"/>
      <c r="G15" s="77" t="s">
        <v>134</v>
      </c>
      <c r="H15" s="607" t="str">
        <f>'Calibration Data'!C12</f>
        <v>0122YL21002</v>
      </c>
      <c r="I15" s="607"/>
      <c r="J15" s="607"/>
      <c r="K15" s="607"/>
      <c r="L15" s="607"/>
      <c r="M15" s="607"/>
      <c r="N15" s="607"/>
      <c r="O15" s="607"/>
      <c r="P15" s="607"/>
      <c r="Q15" s="607"/>
      <c r="R15" s="607"/>
      <c r="S15" s="272"/>
      <c r="T15" s="272"/>
      <c r="U15" s="272"/>
      <c r="V15" s="272"/>
      <c r="W15" s="272"/>
      <c r="X15" s="272"/>
      <c r="Y15" s="272"/>
      <c r="Z15" s="272"/>
      <c r="AA15" s="75"/>
      <c r="AB15" s="75"/>
    </row>
    <row r="16" spans="1:28" ht="15.6" hidden="1" customHeight="1" x14ac:dyDescent="0.25">
      <c r="A16" s="76"/>
      <c r="B16" s="26"/>
      <c r="C16" s="76"/>
      <c r="D16" s="76"/>
      <c r="E16" s="76"/>
      <c r="F16" s="76"/>
      <c r="G16" s="77"/>
      <c r="H16" s="78" t="str">
        <f>Software!O21&amp; " (Indicator)"</f>
        <v xml:space="preserve"> (Indicator)</v>
      </c>
      <c r="K16" s="72"/>
      <c r="L16" s="72"/>
      <c r="M16" s="72"/>
      <c r="N16" s="72"/>
      <c r="O16" s="72"/>
      <c r="P16" s="72"/>
      <c r="Q16" s="72"/>
      <c r="R16" s="72"/>
      <c r="S16" s="72"/>
      <c r="T16" s="72"/>
      <c r="U16" s="72"/>
      <c r="V16" s="72"/>
      <c r="W16" s="72"/>
      <c r="X16" s="72"/>
      <c r="Y16" s="26"/>
      <c r="Z16" s="26"/>
      <c r="AA16" s="75"/>
      <c r="AB16" s="75"/>
    </row>
    <row r="17" spans="1:38" ht="16.899999999999999" customHeight="1" x14ac:dyDescent="0.25">
      <c r="A17" s="26" t="s">
        <v>136</v>
      </c>
      <c r="B17" s="76"/>
      <c r="C17" s="76"/>
      <c r="D17" s="76"/>
      <c r="E17" s="26"/>
      <c r="F17" s="26"/>
      <c r="G17" s="77" t="s">
        <v>134</v>
      </c>
      <c r="H17" s="607" t="str">
        <f>UPPER('Calibration Data'!C7)</f>
        <v>SAVVICE CORPORATION</v>
      </c>
      <c r="I17" s="607"/>
      <c r="J17" s="607"/>
      <c r="K17" s="607"/>
      <c r="L17" s="607"/>
      <c r="M17" s="607"/>
      <c r="N17" s="607"/>
      <c r="O17" s="607"/>
      <c r="P17" s="607"/>
      <c r="Q17" s="607"/>
      <c r="R17" s="607"/>
      <c r="S17" s="270"/>
      <c r="T17" s="270"/>
      <c r="U17" s="270"/>
      <c r="V17" s="270"/>
      <c r="W17" s="270"/>
      <c r="X17" s="270"/>
      <c r="Y17" s="270"/>
      <c r="Z17" s="270"/>
      <c r="AA17" s="75"/>
      <c r="AB17" s="75"/>
    </row>
    <row r="18" spans="1:38" ht="16.5" customHeight="1" x14ac:dyDescent="0.25">
      <c r="A18" s="76"/>
      <c r="B18" s="76"/>
      <c r="C18" s="26"/>
      <c r="D18" s="26"/>
      <c r="E18" s="26"/>
      <c r="F18" s="26"/>
      <c r="G18" s="26"/>
      <c r="H18" s="607" t="str">
        <f>'Dash Board'!D8</f>
        <v>3rd Floor BMWC Bldg., Cagayan Valley Road</v>
      </c>
      <c r="I18" s="607"/>
      <c r="J18" s="607"/>
      <c r="K18" s="607"/>
      <c r="L18" s="607"/>
      <c r="M18" s="607"/>
      <c r="N18" s="607"/>
      <c r="O18" s="607"/>
      <c r="P18" s="607"/>
      <c r="Q18" s="607"/>
      <c r="R18" s="607"/>
      <c r="S18" s="268"/>
      <c r="T18" s="268"/>
      <c r="U18" s="268"/>
      <c r="V18" s="268"/>
      <c r="W18" s="268"/>
      <c r="X18" s="268"/>
      <c r="Y18" s="268"/>
      <c r="Z18" s="268"/>
      <c r="AA18" s="79"/>
      <c r="AB18" s="75"/>
    </row>
    <row r="19" spans="1:38" ht="19.5" customHeight="1" x14ac:dyDescent="0.25">
      <c r="A19" s="80"/>
      <c r="B19" s="80"/>
      <c r="C19" s="75"/>
      <c r="D19" s="75"/>
      <c r="E19" s="75"/>
      <c r="F19" s="75"/>
      <c r="G19" s="75"/>
      <c r="H19" s="607" t="str">
        <f>IF('Dash Board'!D9&lt;&gt;0,'Dash Board'!D9,"")</f>
        <v>Sta. Rita, Guiginto, Bulacan</v>
      </c>
      <c r="I19" s="607"/>
      <c r="J19" s="607"/>
      <c r="K19" s="607"/>
      <c r="L19" s="607"/>
      <c r="M19" s="607"/>
      <c r="N19" s="607"/>
      <c r="O19" s="607"/>
      <c r="P19" s="607"/>
      <c r="Q19" s="607"/>
      <c r="R19" s="607"/>
      <c r="S19" s="268"/>
      <c r="T19" s="268"/>
      <c r="U19" s="268"/>
      <c r="V19" s="268"/>
      <c r="W19" s="268"/>
      <c r="X19" s="268"/>
      <c r="Y19" s="268"/>
      <c r="Z19" s="268"/>
      <c r="AA19" s="79"/>
      <c r="AB19" s="75"/>
    </row>
    <row r="20" spans="1:38" ht="15" customHeight="1" x14ac:dyDescent="0.25">
      <c r="B20" s="80"/>
      <c r="C20" s="75"/>
      <c r="D20" s="75"/>
      <c r="E20" s="75"/>
      <c r="F20" s="75"/>
      <c r="G20" s="75"/>
      <c r="H20" s="75"/>
      <c r="I20" s="81"/>
      <c r="J20" s="82"/>
      <c r="K20" s="81"/>
      <c r="L20" s="81"/>
      <c r="M20" s="81"/>
      <c r="N20" s="81"/>
      <c r="O20" s="81"/>
      <c r="P20" s="81"/>
      <c r="Q20" s="81"/>
      <c r="R20" s="81"/>
      <c r="S20" s="81"/>
      <c r="T20" s="81"/>
      <c r="U20" s="81"/>
      <c r="V20" s="81"/>
      <c r="W20" s="83"/>
      <c r="X20" s="79"/>
      <c r="Y20" s="79"/>
      <c r="Z20" s="79"/>
      <c r="AA20" s="79"/>
      <c r="AB20" s="75"/>
    </row>
    <row r="21" spans="1:38" ht="16.5" x14ac:dyDescent="0.25">
      <c r="A21" s="75" t="s">
        <v>137</v>
      </c>
      <c r="B21" s="80"/>
      <c r="D21" s="80"/>
      <c r="E21" s="75"/>
      <c r="F21" s="75"/>
      <c r="G21" s="75"/>
      <c r="H21" s="75"/>
      <c r="I21" s="75"/>
      <c r="J21" s="75"/>
      <c r="K21" s="75"/>
      <c r="L21" s="75"/>
      <c r="M21" s="75"/>
      <c r="N21" s="75"/>
      <c r="O21" s="75"/>
      <c r="P21" s="75"/>
      <c r="Q21" s="75"/>
      <c r="R21" s="75"/>
      <c r="S21" s="75"/>
      <c r="T21" s="75"/>
      <c r="U21" s="75"/>
      <c r="V21" s="75"/>
      <c r="W21" s="84"/>
      <c r="X21" s="84"/>
      <c r="Y21" s="84"/>
      <c r="Z21" s="84"/>
      <c r="AA21" s="84"/>
      <c r="AB21" s="75"/>
    </row>
    <row r="22" spans="1:38" ht="3.6" customHeight="1" x14ac:dyDescent="0.25">
      <c r="A22" s="75"/>
      <c r="B22" s="80"/>
      <c r="D22" s="80"/>
      <c r="E22" s="75"/>
      <c r="F22" s="75"/>
      <c r="G22" s="75"/>
      <c r="H22" s="75"/>
      <c r="I22" s="75"/>
      <c r="J22" s="75"/>
      <c r="K22" s="75"/>
      <c r="L22" s="75"/>
      <c r="M22" s="75"/>
      <c r="N22" s="75"/>
      <c r="O22" s="75"/>
      <c r="P22" s="75"/>
      <c r="Q22" s="75"/>
      <c r="R22" s="75"/>
      <c r="S22" s="75"/>
      <c r="T22" s="75"/>
      <c r="U22" s="75"/>
      <c r="V22" s="75"/>
      <c r="W22" s="84"/>
      <c r="X22" s="84"/>
      <c r="Y22" s="84"/>
      <c r="Z22" s="84"/>
      <c r="AA22" s="84"/>
      <c r="AB22" s="75"/>
    </row>
    <row r="23" spans="1:38" ht="15.6" customHeight="1" x14ac:dyDescent="0.25">
      <c r="A23" s="75" t="s">
        <v>262</v>
      </c>
      <c r="B23" s="88"/>
      <c r="C23" s="88"/>
      <c r="D23" s="88"/>
      <c r="E23" s="88"/>
      <c r="F23" s="88"/>
      <c r="G23" s="88"/>
      <c r="H23" s="88"/>
      <c r="I23" s="87"/>
      <c r="J23" s="87"/>
      <c r="K23" s="86"/>
      <c r="L23" s="87"/>
      <c r="M23" s="87"/>
      <c r="N23" s="87"/>
      <c r="O23" s="89"/>
      <c r="P23" s="89"/>
      <c r="Q23" s="89"/>
      <c r="R23" s="89"/>
      <c r="Z23" s="75"/>
      <c r="AA23" s="75"/>
      <c r="AB23" s="75"/>
    </row>
    <row r="24" spans="1:38" ht="15" customHeight="1" x14ac:dyDescent="0.25">
      <c r="A24" s="75"/>
      <c r="B24" s="88"/>
      <c r="C24" s="88"/>
      <c r="D24" s="88"/>
      <c r="E24" s="88"/>
      <c r="F24" s="88"/>
      <c r="G24" s="88"/>
      <c r="H24" s="88"/>
      <c r="I24" s="87"/>
      <c r="J24" s="87"/>
      <c r="K24" s="86"/>
      <c r="L24" s="87"/>
      <c r="M24" s="87"/>
      <c r="N24" s="87"/>
      <c r="O24" s="89"/>
      <c r="P24" s="89"/>
      <c r="Q24" s="89"/>
      <c r="R24" s="89"/>
      <c r="Z24" s="75"/>
      <c r="AA24" s="75"/>
      <c r="AB24" s="75"/>
    </row>
    <row r="25" spans="1:38" ht="15.75" x14ac:dyDescent="0.25">
      <c r="A25" s="75" t="s">
        <v>138</v>
      </c>
      <c r="B25" s="80"/>
      <c r="C25" s="75"/>
      <c r="D25" s="80"/>
      <c r="E25" s="75"/>
      <c r="F25" s="75"/>
      <c r="G25" s="75"/>
      <c r="H25" s="75"/>
      <c r="I25" s="75"/>
      <c r="J25" s="75"/>
      <c r="K25" s="75"/>
      <c r="L25" s="75"/>
      <c r="M25" s="75"/>
      <c r="N25" s="75"/>
      <c r="O25" s="75"/>
      <c r="P25" s="75"/>
      <c r="Q25" s="75"/>
      <c r="R25" s="75"/>
      <c r="Z25" s="75"/>
      <c r="AA25" s="75"/>
      <c r="AB25" s="75"/>
    </row>
    <row r="26" spans="1:38" ht="3.6" customHeight="1" x14ac:dyDescent="0.25">
      <c r="A26" s="75"/>
      <c r="B26" s="80"/>
      <c r="C26" s="75"/>
      <c r="D26" s="80"/>
      <c r="E26" s="75"/>
      <c r="F26" s="75"/>
      <c r="G26" s="75"/>
      <c r="H26" s="75"/>
      <c r="I26" s="75"/>
      <c r="J26" s="75"/>
      <c r="K26" s="75"/>
      <c r="L26" s="75"/>
      <c r="M26" s="75"/>
      <c r="N26" s="75"/>
      <c r="O26" s="75"/>
      <c r="P26" s="75"/>
      <c r="Q26" s="75"/>
      <c r="R26" s="75"/>
      <c r="Z26" s="75"/>
      <c r="AA26" s="75"/>
      <c r="AB26" s="75"/>
    </row>
    <row r="27" spans="1:38" ht="77.45" customHeight="1" x14ac:dyDescent="0.25">
      <c r="A27" s="608" t="s">
        <v>263</v>
      </c>
      <c r="B27" s="608"/>
      <c r="C27" s="608"/>
      <c r="D27" s="608"/>
      <c r="E27" s="608"/>
      <c r="F27" s="608"/>
      <c r="G27" s="608"/>
      <c r="H27" s="608"/>
      <c r="I27" s="608"/>
      <c r="J27" s="608"/>
      <c r="K27" s="608"/>
      <c r="L27" s="608"/>
      <c r="M27" s="608"/>
      <c r="N27" s="608"/>
      <c r="O27" s="608"/>
      <c r="P27" s="608"/>
      <c r="Q27" s="608"/>
      <c r="R27" s="608"/>
      <c r="Z27" s="278"/>
      <c r="AA27" s="84"/>
      <c r="AB27" s="75"/>
    </row>
    <row r="28" spans="1:38" ht="15" customHeight="1" x14ac:dyDescent="0.25">
      <c r="A28" s="609"/>
      <c r="B28" s="609"/>
      <c r="C28" s="609"/>
      <c r="D28" s="609"/>
      <c r="E28" s="609"/>
      <c r="F28" s="609"/>
      <c r="G28" s="609"/>
      <c r="H28" s="609"/>
      <c r="I28" s="609"/>
      <c r="J28" s="609"/>
      <c r="K28" s="609"/>
      <c r="L28" s="609"/>
      <c r="M28" s="609"/>
      <c r="N28" s="609"/>
      <c r="O28" s="609"/>
      <c r="P28" s="609"/>
      <c r="Q28" s="609"/>
      <c r="R28" s="609"/>
      <c r="S28" s="609"/>
      <c r="T28" s="609"/>
      <c r="U28" s="609"/>
      <c r="V28" s="609"/>
      <c r="W28" s="609"/>
      <c r="X28" s="609"/>
      <c r="Y28" s="609"/>
      <c r="Z28" s="609"/>
    </row>
    <row r="29" spans="1:38" ht="15.75" x14ac:dyDescent="0.25">
      <c r="A29" s="75" t="s">
        <v>140</v>
      </c>
      <c r="B29" s="80"/>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row>
    <row r="30" spans="1:38" ht="3.6" customHeight="1" x14ac:dyDescent="0.25">
      <c r="A30" s="80"/>
      <c r="B30" s="80"/>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row>
    <row r="31" spans="1:38" ht="16.899999999999999" customHeight="1" x14ac:dyDescent="0.25">
      <c r="A31" s="610" t="s">
        <v>53</v>
      </c>
      <c r="B31" s="610"/>
      <c r="C31" s="610"/>
      <c r="D31" s="610"/>
      <c r="E31" s="610"/>
      <c r="F31" s="610"/>
      <c r="G31" s="610" t="s">
        <v>141</v>
      </c>
      <c r="H31" s="610"/>
      <c r="I31" s="610"/>
      <c r="J31" s="611" t="s">
        <v>142</v>
      </c>
      <c r="K31" s="611"/>
      <c r="L31" s="611"/>
      <c r="M31" s="610" t="s">
        <v>55</v>
      </c>
      <c r="N31" s="610"/>
      <c r="O31" s="610"/>
      <c r="P31" s="610"/>
      <c r="Q31" s="610"/>
      <c r="R31" s="610"/>
      <c r="S31" s="280"/>
      <c r="AA31" s="84"/>
      <c r="AB31" s="75"/>
    </row>
    <row r="32" spans="1:38" ht="43.9" customHeight="1" x14ac:dyDescent="0.25">
      <c r="A32" s="611" t="str">
        <f>"Load Cell                     SN "&amp;Software!E38</f>
        <v>Load Cell                     SN F93007</v>
      </c>
      <c r="B32" s="611"/>
      <c r="C32" s="611"/>
      <c r="D32" s="611"/>
      <c r="E32" s="611"/>
      <c r="F32" s="611"/>
      <c r="G32" s="611" t="str">
        <f>IFERROR(LEFT(Software!E36,8),Software!E36)</f>
        <v>HBM/C3H3</v>
      </c>
      <c r="H32" s="611"/>
      <c r="I32" s="611"/>
      <c r="J32" s="611" t="str">
        <f>Software!E39</f>
        <v>1800-00040-004</v>
      </c>
      <c r="K32" s="611"/>
      <c r="L32" s="611"/>
      <c r="M32" s="611" t="s">
        <v>143</v>
      </c>
      <c r="N32" s="611"/>
      <c r="O32" s="611"/>
      <c r="P32" s="611"/>
      <c r="Q32" s="611"/>
      <c r="R32" s="611"/>
      <c r="S32" s="279"/>
      <c r="T32" s="95"/>
      <c r="AA32" s="93"/>
      <c r="AB32" s="75"/>
      <c r="AL32" s="71"/>
    </row>
    <row r="33" spans="1:38" ht="15" customHeight="1" x14ac:dyDescent="0.25">
      <c r="A33" s="94"/>
      <c r="B33" s="94"/>
      <c r="C33" s="94"/>
      <c r="D33" s="94"/>
      <c r="E33" s="94"/>
      <c r="F33" s="94"/>
      <c r="G33" s="94"/>
      <c r="H33" s="94"/>
      <c r="I33" s="94"/>
      <c r="J33" s="94"/>
      <c r="K33" s="94"/>
      <c r="L33" s="94"/>
      <c r="M33" s="94"/>
      <c r="N33" s="94"/>
      <c r="O33" s="94"/>
      <c r="P33" s="94"/>
      <c r="Q33" s="94"/>
      <c r="R33" s="94"/>
      <c r="S33" s="95"/>
      <c r="T33" s="95"/>
      <c r="AA33" s="93"/>
      <c r="AB33" s="75"/>
      <c r="AL33" s="71"/>
    </row>
    <row r="34" spans="1:38" ht="15.75" x14ac:dyDescent="0.25">
      <c r="A34" s="75" t="s">
        <v>144</v>
      </c>
      <c r="B34" s="80"/>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row>
    <row r="35" spans="1:38" ht="3.6" customHeight="1" x14ac:dyDescent="0.25">
      <c r="A35" s="80"/>
      <c r="B35" s="80"/>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row>
    <row r="36" spans="1:38" ht="30.75" customHeight="1" x14ac:dyDescent="0.25">
      <c r="A36" s="618" t="s">
        <v>162</v>
      </c>
      <c r="B36" s="618"/>
      <c r="C36" s="618"/>
      <c r="D36" s="618"/>
      <c r="E36" s="618"/>
      <c r="F36" s="618"/>
      <c r="G36" s="618"/>
      <c r="H36" s="618"/>
      <c r="I36" s="618"/>
      <c r="J36" s="618"/>
      <c r="K36" s="618"/>
      <c r="L36" s="618"/>
      <c r="M36" s="618"/>
      <c r="N36" s="618"/>
      <c r="O36" s="618"/>
      <c r="P36" s="618"/>
      <c r="Q36" s="618"/>
      <c r="R36" s="618"/>
      <c r="S36" s="83"/>
      <c r="T36" s="83"/>
      <c r="U36" s="83"/>
      <c r="V36" s="83"/>
      <c r="W36" s="83"/>
      <c r="X36" s="83"/>
      <c r="Y36" s="83"/>
      <c r="Z36" s="83"/>
      <c r="AA36" s="75"/>
      <c r="AB36" s="75"/>
    </row>
    <row r="37" spans="1:38" ht="3.6" customHeight="1" x14ac:dyDescent="0.25">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75"/>
      <c r="AB37" s="75"/>
    </row>
    <row r="38" spans="1:38" ht="31.15" customHeight="1" x14ac:dyDescent="0.25">
      <c r="A38" s="618" t="s">
        <v>269</v>
      </c>
      <c r="B38" s="618"/>
      <c r="C38" s="618"/>
      <c r="D38" s="618"/>
      <c r="E38" s="618"/>
      <c r="F38" s="618"/>
      <c r="G38" s="618"/>
      <c r="H38" s="618"/>
      <c r="I38" s="618"/>
      <c r="J38" s="618"/>
      <c r="K38" s="618"/>
      <c r="L38" s="618"/>
      <c r="M38" s="618"/>
      <c r="N38" s="618"/>
      <c r="O38" s="618"/>
      <c r="P38" s="618"/>
      <c r="Q38" s="618"/>
      <c r="R38" s="618"/>
      <c r="S38" s="278"/>
      <c r="T38" s="278"/>
      <c r="U38" s="278"/>
      <c r="V38" s="278"/>
      <c r="W38" s="278"/>
      <c r="X38" s="278"/>
      <c r="Y38" s="278"/>
      <c r="Z38" s="278"/>
      <c r="AA38" s="95"/>
      <c r="AB38" s="75"/>
    </row>
    <row r="39" spans="1:38" ht="15" customHeight="1" x14ac:dyDescent="0.25">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95"/>
      <c r="AB39" s="75"/>
    </row>
    <row r="40" spans="1:38" ht="15.75" x14ac:dyDescent="0.25">
      <c r="A40" s="75" t="s">
        <v>145</v>
      </c>
      <c r="B40" s="80"/>
      <c r="C40" s="75"/>
      <c r="D40" s="80"/>
      <c r="E40" s="75"/>
      <c r="F40" s="75"/>
      <c r="G40" s="75"/>
      <c r="H40" s="75"/>
      <c r="I40" s="75"/>
      <c r="J40" s="75"/>
      <c r="K40" s="75"/>
      <c r="L40" s="75"/>
      <c r="M40" s="75"/>
      <c r="N40" s="75"/>
      <c r="O40" s="75"/>
      <c r="P40" s="75"/>
      <c r="Q40" s="75"/>
      <c r="R40" s="75"/>
      <c r="S40" s="75"/>
      <c r="T40" s="75"/>
      <c r="U40" s="75"/>
      <c r="V40" s="75"/>
      <c r="W40" s="75"/>
      <c r="X40" s="75"/>
      <c r="Y40" s="75"/>
      <c r="Z40" s="75"/>
      <c r="AA40" s="75"/>
      <c r="AB40" s="75"/>
    </row>
    <row r="41" spans="1:38" ht="3.6" customHeight="1" x14ac:dyDescent="0.25">
      <c r="A41" s="80"/>
      <c r="B41" s="8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row>
    <row r="42" spans="1:38" ht="15.6" customHeight="1" x14ac:dyDescent="0.25">
      <c r="A42" s="80"/>
      <c r="B42" s="75" t="s">
        <v>57</v>
      </c>
      <c r="D42" s="75"/>
      <c r="E42" s="75"/>
      <c r="F42" s="75"/>
      <c r="G42" s="80"/>
      <c r="H42" s="612" t="str">
        <f>" :   ("&amp;ROUND('Calibration Data'!P19,1)&amp;"± 1) °C"</f>
        <v xml:space="preserve"> :   (25± 1) °C</v>
      </c>
      <c r="I42" s="612"/>
      <c r="K42" s="96"/>
      <c r="M42" s="281"/>
      <c r="N42" s="281"/>
      <c r="O42" s="281"/>
      <c r="P42" s="281"/>
      <c r="Q42" s="281"/>
      <c r="R42" s="281"/>
      <c r="S42" s="80"/>
      <c r="T42" s="80"/>
      <c r="U42" s="80"/>
      <c r="V42" s="80"/>
      <c r="W42" s="80"/>
      <c r="X42" s="80"/>
      <c r="Z42" s="75"/>
      <c r="AA42" s="75"/>
      <c r="AB42" s="75"/>
    </row>
    <row r="43" spans="1:38" ht="15.6" customHeight="1" x14ac:dyDescent="0.25">
      <c r="A43" s="80"/>
      <c r="B43" s="75" t="s">
        <v>58</v>
      </c>
      <c r="D43" s="75"/>
      <c r="E43" s="75"/>
      <c r="F43" s="75"/>
      <c r="G43" s="80"/>
      <c r="H43" s="613" t="str">
        <f>" :   ("&amp;ROUND('Calibration Data'!Q19,1)&amp;"± 5)"</f>
        <v xml:space="preserve"> :   (33± 5)</v>
      </c>
      <c r="I43" s="613"/>
      <c r="K43" s="96"/>
      <c r="M43" s="100"/>
      <c r="N43" s="100"/>
      <c r="O43" s="100"/>
      <c r="P43" s="100"/>
      <c r="Q43" s="100"/>
      <c r="R43" s="100"/>
      <c r="S43" s="97"/>
      <c r="T43" s="97"/>
      <c r="U43" s="80"/>
      <c r="V43" s="614"/>
      <c r="W43" s="614"/>
      <c r="X43" s="77"/>
      <c r="Z43" s="75"/>
      <c r="AA43" s="75"/>
      <c r="AB43" s="75"/>
    </row>
    <row r="44" spans="1:38" ht="15.75" x14ac:dyDescent="0.25">
      <c r="A44" s="80"/>
      <c r="B44" s="80"/>
      <c r="C44" s="75"/>
      <c r="D44" s="75"/>
      <c r="E44" s="75"/>
      <c r="F44" s="75"/>
      <c r="G44" s="80"/>
      <c r="H44" s="80"/>
      <c r="I44" s="75"/>
      <c r="K44" s="96"/>
      <c r="L44" s="271"/>
      <c r="M44" s="271"/>
      <c r="N44" s="271"/>
      <c r="O44" s="271"/>
      <c r="P44" s="271"/>
      <c r="Q44" s="271"/>
      <c r="R44" s="271"/>
      <c r="S44" s="97"/>
      <c r="T44" s="97"/>
      <c r="U44" s="80"/>
      <c r="V44" s="77"/>
      <c r="W44" s="77"/>
      <c r="X44" s="77"/>
      <c r="Z44" s="75"/>
      <c r="AA44" s="75"/>
      <c r="AB44" s="75"/>
    </row>
    <row r="45" spans="1:38" ht="16.5" x14ac:dyDescent="0.25">
      <c r="A45" s="609" t="s">
        <v>139</v>
      </c>
      <c r="B45" s="609"/>
      <c r="C45" s="609"/>
      <c r="D45" s="609"/>
      <c r="E45" s="609"/>
      <c r="F45" s="609"/>
      <c r="G45" s="609"/>
      <c r="H45" s="609"/>
      <c r="I45" s="609"/>
      <c r="J45" s="609"/>
      <c r="K45" s="609"/>
      <c r="L45" s="609"/>
      <c r="M45" s="609"/>
      <c r="N45" s="609"/>
      <c r="O45" s="609"/>
      <c r="P45" s="609"/>
      <c r="Q45" s="609"/>
      <c r="R45" s="609"/>
      <c r="S45" s="102"/>
      <c r="T45" s="102"/>
      <c r="U45" s="102"/>
      <c r="V45" s="102"/>
      <c r="W45" s="102"/>
      <c r="X45" s="102"/>
      <c r="Y45" s="102"/>
      <c r="Z45" s="102"/>
      <c r="AA45" s="92"/>
      <c r="AB45" s="75"/>
    </row>
    <row r="46" spans="1:38" ht="16.5" x14ac:dyDescent="0.25">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3"/>
      <c r="AB46" s="75"/>
      <c r="AL46" s="71"/>
    </row>
    <row r="47" spans="1:38" ht="16.5" x14ac:dyDescent="0.25">
      <c r="A47" s="615" t="s">
        <v>267</v>
      </c>
      <c r="B47" s="615"/>
      <c r="C47" s="615"/>
      <c r="D47" s="615"/>
      <c r="E47" s="615"/>
      <c r="F47" s="615"/>
      <c r="G47" s="615"/>
      <c r="H47" s="615"/>
      <c r="I47" s="615"/>
      <c r="J47" s="615"/>
      <c r="K47" s="615"/>
      <c r="L47" s="615"/>
      <c r="M47" s="615"/>
      <c r="N47" s="615"/>
      <c r="O47" s="615"/>
      <c r="P47" s="615"/>
      <c r="Q47" s="615"/>
      <c r="R47" s="615"/>
      <c r="S47" s="94"/>
      <c r="T47" s="94"/>
      <c r="U47" s="94"/>
      <c r="V47" s="94"/>
      <c r="W47" s="94"/>
      <c r="X47" s="94"/>
      <c r="Y47" s="94"/>
      <c r="Z47" s="94"/>
      <c r="AA47" s="93"/>
      <c r="AB47" s="75"/>
      <c r="AL47" s="71"/>
    </row>
    <row r="48" spans="1:38" ht="16.5" x14ac:dyDescent="0.25">
      <c r="A48" s="616" t="s">
        <v>268</v>
      </c>
      <c r="B48" s="617"/>
      <c r="C48" s="617"/>
      <c r="D48" s="617"/>
      <c r="E48" s="617"/>
      <c r="F48" s="617"/>
      <c r="G48" s="617"/>
      <c r="H48" s="617"/>
      <c r="I48" s="617"/>
      <c r="J48" s="617"/>
      <c r="K48" s="617"/>
      <c r="L48" s="617"/>
      <c r="M48" s="617"/>
      <c r="N48" s="617"/>
      <c r="O48" s="617"/>
      <c r="P48" s="617"/>
      <c r="Q48" s="617"/>
      <c r="R48" s="617"/>
      <c r="S48" s="94"/>
      <c r="T48" s="94"/>
      <c r="U48" s="94"/>
      <c r="V48" s="94"/>
      <c r="W48" s="94"/>
      <c r="X48" s="94"/>
      <c r="Y48" s="94"/>
      <c r="Z48" s="94"/>
      <c r="AA48" s="93"/>
      <c r="AB48" s="75"/>
      <c r="AL48" s="71"/>
    </row>
    <row r="49" spans="1:52" s="85" customFormat="1" ht="49.9" customHeight="1" x14ac:dyDescent="0.25">
      <c r="A49" s="624" t="s">
        <v>204</v>
      </c>
      <c r="B49" s="625"/>
      <c r="C49" s="625"/>
      <c r="D49" s="625"/>
      <c r="E49" s="625"/>
      <c r="F49" s="626"/>
      <c r="G49" s="627" t="s">
        <v>59</v>
      </c>
      <c r="H49" s="627"/>
      <c r="I49" s="625" t="s">
        <v>258</v>
      </c>
      <c r="J49" s="626"/>
      <c r="K49" s="261" t="s">
        <v>260</v>
      </c>
      <c r="L49" s="624" t="s">
        <v>261</v>
      </c>
      <c r="M49" s="625"/>
      <c r="N49" s="626"/>
      <c r="O49" s="628" t="s">
        <v>116</v>
      </c>
      <c r="P49" s="629"/>
      <c r="Q49" s="629"/>
      <c r="R49" s="630"/>
      <c r="S49"/>
      <c r="T49"/>
      <c r="U49"/>
      <c r="V49"/>
      <c r="W49"/>
      <c r="X49"/>
      <c r="Y49"/>
      <c r="Z49"/>
      <c r="AE49" s="619"/>
      <c r="AF49" s="619"/>
      <c r="AG49" s="619"/>
      <c r="AH49" s="619"/>
      <c r="AI49" s="619"/>
      <c r="AJ49" s="619"/>
      <c r="AK49" s="619"/>
      <c r="AL49" s="619"/>
      <c r="AM49" s="619"/>
      <c r="AN49" s="619"/>
      <c r="AO49" s="619"/>
      <c r="AP49" s="619"/>
      <c r="AQ49" s="619"/>
      <c r="AR49" s="619"/>
      <c r="AS49" s="619"/>
      <c r="AT49" s="619"/>
      <c r="AU49" s="619"/>
      <c r="AV49" s="606"/>
      <c r="AW49" s="606"/>
      <c r="AX49" s="606"/>
      <c r="AY49" s="606"/>
      <c r="AZ49" s="606"/>
    </row>
    <row r="50" spans="1:52" ht="18.75" customHeight="1" x14ac:dyDescent="0.25">
      <c r="A50" s="620" t="str">
        <f>Software!E21</f>
        <v>kgf</v>
      </c>
      <c r="B50" s="620"/>
      <c r="C50" s="620"/>
      <c r="D50" s="620" t="s">
        <v>4</v>
      </c>
      <c r="E50" s="620"/>
      <c r="F50" s="620"/>
      <c r="G50" s="621" t="s">
        <v>4</v>
      </c>
      <c r="H50" s="622"/>
      <c r="I50" s="621" t="s">
        <v>259</v>
      </c>
      <c r="J50" s="622"/>
      <c r="K50" s="277" t="s">
        <v>259</v>
      </c>
      <c r="L50" s="621" t="s">
        <v>259</v>
      </c>
      <c r="M50" s="623"/>
      <c r="N50" s="622"/>
      <c r="O50" s="631"/>
      <c r="P50" s="632"/>
      <c r="Q50" s="632"/>
      <c r="R50" s="633"/>
      <c r="AA50" s="84"/>
      <c r="AB50" s="75"/>
      <c r="AE50" s="542"/>
      <c r="AF50" s="542"/>
      <c r="AG50" s="542"/>
      <c r="AH50" s="542"/>
      <c r="AI50" s="542"/>
      <c r="AJ50" s="542"/>
      <c r="AK50" s="542"/>
      <c r="AL50" s="542"/>
      <c r="AM50" s="542"/>
      <c r="AN50" s="542"/>
      <c r="AO50" s="542"/>
      <c r="AP50" s="542"/>
      <c r="AQ50" s="542"/>
      <c r="AR50" s="542"/>
      <c r="AS50" s="542"/>
      <c r="AT50" s="542"/>
      <c r="AU50" s="542"/>
      <c r="AV50" s="542"/>
      <c r="AW50" s="542"/>
      <c r="AX50" s="542"/>
      <c r="AY50" s="542"/>
      <c r="AZ50" s="542"/>
    </row>
    <row r="51" spans="1:52" ht="19.149999999999999" customHeight="1" x14ac:dyDescent="0.25">
      <c r="A51" s="620">
        <f>'Calibration Data'!T24</f>
        <v>0</v>
      </c>
      <c r="B51" s="620"/>
      <c r="C51" s="620"/>
      <c r="D51" s="635">
        <f>'Calibration Data'!U24</f>
        <v>0</v>
      </c>
      <c r="E51" s="635"/>
      <c r="F51" s="635"/>
      <c r="G51" s="636">
        <f>'Calibration Data'!N24</f>
        <v>0</v>
      </c>
      <c r="H51" s="637"/>
      <c r="I51" s="636">
        <v>0</v>
      </c>
      <c r="J51" s="637"/>
      <c r="K51" s="267">
        <v>0</v>
      </c>
      <c r="L51" s="636">
        <v>0</v>
      </c>
      <c r="M51" s="638"/>
      <c r="N51" s="637"/>
      <c r="O51" s="639" t="str">
        <f>'Calibration Data'!AZ24</f>
        <v>-</v>
      </c>
      <c r="P51" s="640"/>
      <c r="Q51" s="640"/>
      <c r="R51" s="641"/>
      <c r="AA51" s="84"/>
      <c r="AB51" s="75"/>
      <c r="AE51" s="634"/>
      <c r="AF51" s="634"/>
      <c r="AG51" s="634"/>
      <c r="AH51" s="634"/>
      <c r="AI51" s="634"/>
      <c r="AJ51" s="634"/>
      <c r="AK51" s="642"/>
      <c r="AL51" s="642"/>
      <c r="AM51" s="642"/>
      <c r="AN51" s="642"/>
      <c r="AO51" s="642"/>
      <c r="AP51" s="642"/>
      <c r="AQ51" s="634"/>
      <c r="AR51" s="634"/>
      <c r="AS51" s="634"/>
      <c r="AT51" s="634"/>
      <c r="AU51" s="634"/>
      <c r="AV51" s="634"/>
      <c r="AW51" s="634"/>
      <c r="AX51" s="634"/>
      <c r="AY51" s="634"/>
      <c r="AZ51" s="634"/>
    </row>
    <row r="52" spans="1:52" ht="19.149999999999999" customHeight="1" x14ac:dyDescent="0.25">
      <c r="A52" s="620">
        <f>'Calibration Data'!T25</f>
        <v>3000</v>
      </c>
      <c r="B52" s="620"/>
      <c r="C52" s="620"/>
      <c r="D52" s="635">
        <f>'Calibration Data'!U25</f>
        <v>29.41995</v>
      </c>
      <c r="E52" s="635"/>
      <c r="F52" s="635"/>
      <c r="G52" s="636">
        <f>'Calibration Data'!N25</f>
        <v>118.1</v>
      </c>
      <c r="H52" s="637"/>
      <c r="I52" s="636">
        <f>ROUNDUP('Calibration Data'!AO26,2)</f>
        <v>6.0000000000000005E-2</v>
      </c>
      <c r="J52" s="637"/>
      <c r="K52" s="267">
        <f>ROUNDUP('Calibration Data'!AQ26,2)</f>
        <v>-74.53</v>
      </c>
      <c r="L52" s="636">
        <f>ROUNDUP('Calibration Data'!AR25,2)</f>
        <v>0</v>
      </c>
      <c r="M52" s="638"/>
      <c r="N52" s="637"/>
      <c r="O52" s="639">
        <f>'Calibration Data'!AZ25</f>
        <v>0.5</v>
      </c>
      <c r="P52" s="640"/>
      <c r="Q52" s="640"/>
      <c r="R52" s="641"/>
      <c r="AA52" s="84"/>
      <c r="AB52" s="75"/>
      <c r="AE52" s="89"/>
      <c r="AF52" s="89"/>
      <c r="AG52" s="89"/>
      <c r="AH52" s="89"/>
      <c r="AI52" s="89"/>
      <c r="AJ52" s="89"/>
      <c r="AK52" s="90"/>
      <c r="AL52" s="90"/>
      <c r="AM52" s="90"/>
      <c r="AN52" s="90"/>
      <c r="AO52" s="90"/>
      <c r="AP52" s="90"/>
      <c r="AQ52" s="89"/>
      <c r="AR52" s="89"/>
      <c r="AS52" s="89"/>
      <c r="AT52" s="89"/>
      <c r="AU52" s="89"/>
      <c r="AV52" s="89"/>
      <c r="AW52" s="89"/>
      <c r="AX52" s="89"/>
      <c r="AY52" s="89"/>
      <c r="AZ52" s="89"/>
    </row>
    <row r="53" spans="1:52" ht="19.149999999999999" customHeight="1" x14ac:dyDescent="0.25">
      <c r="A53" s="620">
        <f>'Calibration Data'!T26</f>
        <v>6000</v>
      </c>
      <c r="B53" s="620"/>
      <c r="C53" s="620"/>
      <c r="D53" s="635">
        <f>'Calibration Data'!U26</f>
        <v>58.8399</v>
      </c>
      <c r="E53" s="635"/>
      <c r="F53" s="635"/>
      <c r="G53" s="636">
        <f>'Calibration Data'!N26</f>
        <v>230.96700000000001</v>
      </c>
      <c r="H53" s="637"/>
      <c r="I53" s="636">
        <f>ROUNDUP('Calibration Data'!AO27,2)</f>
        <v>6.0000000000000005E-2</v>
      </c>
      <c r="J53" s="637"/>
      <c r="K53" s="267">
        <f>ROUNDUP('Calibration Data'!AQ27,2)</f>
        <v>-73.660000000000011</v>
      </c>
      <c r="L53" s="636">
        <f>ROUNDUP('Calibration Data'!AR26,2)</f>
        <v>0</v>
      </c>
      <c r="M53" s="638"/>
      <c r="N53" s="637"/>
      <c r="O53" s="639">
        <f>'Calibration Data'!AZ26</f>
        <v>0.5</v>
      </c>
      <c r="P53" s="640"/>
      <c r="Q53" s="640"/>
      <c r="R53" s="641"/>
      <c r="AA53" s="84"/>
      <c r="AB53" s="75"/>
      <c r="AE53" s="89"/>
      <c r="AF53" s="89"/>
      <c r="AG53" s="89"/>
      <c r="AH53" s="89"/>
      <c r="AI53" s="89"/>
      <c r="AJ53" s="89"/>
      <c r="AK53" s="90"/>
      <c r="AL53" s="90"/>
      <c r="AM53" s="90"/>
      <c r="AN53" s="90"/>
      <c r="AO53" s="90"/>
      <c r="AP53" s="90"/>
      <c r="AQ53" s="89"/>
      <c r="AR53" s="89"/>
      <c r="AS53" s="89"/>
      <c r="AT53" s="89"/>
      <c r="AU53" s="89"/>
      <c r="AV53" s="89"/>
      <c r="AW53" s="89"/>
      <c r="AX53" s="89"/>
      <c r="AY53" s="89"/>
      <c r="AZ53" s="89"/>
    </row>
    <row r="54" spans="1:52" ht="19.149999999999999" customHeight="1" x14ac:dyDescent="0.25">
      <c r="A54" s="620">
        <f>'Calibration Data'!T27</f>
        <v>9000</v>
      </c>
      <c r="B54" s="620"/>
      <c r="C54" s="620"/>
      <c r="D54" s="635">
        <f>'Calibration Data'!U27</f>
        <v>88.25985</v>
      </c>
      <c r="E54" s="635"/>
      <c r="F54" s="635"/>
      <c r="G54" s="636">
        <f>'Calibration Data'!N27</f>
        <v>335.02300000000002</v>
      </c>
      <c r="H54" s="637"/>
      <c r="I54" s="636">
        <f>ROUNDUP('Calibration Data'!AO28,2)</f>
        <v>6.0000000000000005E-2</v>
      </c>
      <c r="J54" s="637"/>
      <c r="K54" s="267">
        <f>ROUNDUP('Calibration Data'!AQ28,2)</f>
        <v>-72.240000000000009</v>
      </c>
      <c r="L54" s="636">
        <f>ROUNDUP('Calibration Data'!AR27,2)</f>
        <v>0</v>
      </c>
      <c r="M54" s="638"/>
      <c r="N54" s="637"/>
      <c r="O54" s="639">
        <f>'Calibration Data'!AZ27</f>
        <v>0.5</v>
      </c>
      <c r="P54" s="640"/>
      <c r="Q54" s="640"/>
      <c r="R54" s="641"/>
      <c r="AA54" s="84"/>
      <c r="AB54" s="75"/>
      <c r="AE54" s="89"/>
      <c r="AF54" s="89"/>
      <c r="AG54" s="89"/>
      <c r="AH54" s="89"/>
      <c r="AI54" s="89"/>
      <c r="AJ54" s="89"/>
      <c r="AK54" s="90"/>
      <c r="AL54" s="90"/>
      <c r="AM54" s="90"/>
      <c r="AN54" s="90"/>
      <c r="AO54" s="90"/>
      <c r="AP54" s="90"/>
      <c r="AQ54" s="89"/>
      <c r="AR54" s="89"/>
      <c r="AS54" s="89"/>
      <c r="AT54" s="89"/>
      <c r="AU54" s="89"/>
      <c r="AV54" s="89"/>
      <c r="AW54" s="89"/>
      <c r="AX54" s="89"/>
      <c r="AY54" s="89"/>
      <c r="AZ54" s="89"/>
    </row>
    <row r="55" spans="1:52" ht="19.149999999999999" customHeight="1" x14ac:dyDescent="0.25">
      <c r="A55" s="620">
        <f>'Calibration Data'!T28</f>
        <v>12000</v>
      </c>
      <c r="B55" s="620"/>
      <c r="C55" s="620"/>
      <c r="D55" s="635">
        <f>'Calibration Data'!U28</f>
        <v>117.6798</v>
      </c>
      <c r="E55" s="635"/>
      <c r="F55" s="635"/>
      <c r="G55" s="636">
        <f>'Calibration Data'!N28</f>
        <v>423.77800000000002</v>
      </c>
      <c r="H55" s="637"/>
      <c r="I55" s="636">
        <f>ROUNDUP('Calibration Data'!AO29,2)</f>
        <v>6.0000000000000005E-2</v>
      </c>
      <c r="J55" s="637"/>
      <c r="K55" s="267">
        <f>ROUNDUP('Calibration Data'!AQ29,2)</f>
        <v>-70.14</v>
      </c>
      <c r="L55" s="636">
        <f>ROUNDUP('Calibration Data'!AR28,2)</f>
        <v>0</v>
      </c>
      <c r="M55" s="638"/>
      <c r="N55" s="637"/>
      <c r="O55" s="639">
        <f>'Calibration Data'!AZ28</f>
        <v>0.5</v>
      </c>
      <c r="P55" s="640"/>
      <c r="Q55" s="640"/>
      <c r="R55" s="641"/>
      <c r="AA55" s="84"/>
      <c r="AB55" s="75"/>
      <c r="AE55" s="89"/>
      <c r="AF55" s="89"/>
      <c r="AG55" s="89"/>
      <c r="AH55" s="89"/>
      <c r="AI55" s="89"/>
      <c r="AJ55" s="89"/>
      <c r="AK55" s="90"/>
      <c r="AL55" s="90"/>
      <c r="AM55" s="90"/>
      <c r="AN55" s="90"/>
      <c r="AO55" s="90"/>
      <c r="AP55" s="90"/>
      <c r="AQ55" s="89"/>
      <c r="AR55" s="89"/>
      <c r="AS55" s="89"/>
      <c r="AT55" s="89"/>
      <c r="AU55" s="89"/>
      <c r="AV55" s="89"/>
      <c r="AW55" s="89"/>
      <c r="AX55" s="89"/>
      <c r="AY55" s="89"/>
      <c r="AZ55" s="89"/>
    </row>
    <row r="56" spans="1:52" ht="19.149999999999999" customHeight="1" x14ac:dyDescent="0.25">
      <c r="A56" s="620">
        <f>'Calibration Data'!T29</f>
        <v>15000</v>
      </c>
      <c r="B56" s="620"/>
      <c r="C56" s="620"/>
      <c r="D56" s="635">
        <f>'Calibration Data'!U29</f>
        <v>147.09975</v>
      </c>
      <c r="E56" s="635"/>
      <c r="F56" s="635"/>
      <c r="G56" s="636">
        <f>'Calibration Data'!N29</f>
        <v>492.512</v>
      </c>
      <c r="H56" s="637"/>
      <c r="I56" s="636" t="e">
        <f>ROUNDUP('Calibration Data'!AO30,2)</f>
        <v>#VALUE!</v>
      </c>
      <c r="J56" s="637"/>
      <c r="K56" s="267" t="e">
        <f>ROUNDUP('Calibration Data'!AQ30,2)</f>
        <v>#VALUE!</v>
      </c>
      <c r="L56" s="636">
        <f>ROUNDUP('Calibration Data'!AR29,2)</f>
        <v>0</v>
      </c>
      <c r="M56" s="638"/>
      <c r="N56" s="637"/>
      <c r="O56" s="639">
        <f>'Calibration Data'!AZ29</f>
        <v>0.5</v>
      </c>
      <c r="P56" s="640"/>
      <c r="Q56" s="640"/>
      <c r="R56" s="641"/>
      <c r="AA56" s="84"/>
      <c r="AB56" s="75"/>
      <c r="AE56" s="89"/>
      <c r="AF56" s="89"/>
      <c r="AG56" s="89"/>
      <c r="AH56" s="89"/>
      <c r="AI56" s="89"/>
      <c r="AJ56" s="89"/>
      <c r="AK56" s="90"/>
      <c r="AL56" s="90"/>
      <c r="AM56" s="90"/>
      <c r="AN56" s="90"/>
      <c r="AO56" s="90"/>
      <c r="AP56" s="90"/>
      <c r="AQ56" s="89"/>
      <c r="AR56" s="89"/>
      <c r="AS56" s="89"/>
      <c r="AT56" s="89"/>
      <c r="AU56" s="89"/>
      <c r="AV56" s="89"/>
      <c r="AW56" s="89"/>
      <c r="AX56" s="89"/>
      <c r="AY56" s="89"/>
      <c r="AZ56" s="89"/>
    </row>
    <row r="57" spans="1:52" ht="19.149999999999999" customHeight="1" x14ac:dyDescent="0.25">
      <c r="A57" s="620">
        <f>'Calibration Data'!T30</f>
        <v>0</v>
      </c>
      <c r="B57" s="620"/>
      <c r="C57" s="620"/>
      <c r="D57" s="635">
        <f>'Calibration Data'!U30</f>
        <v>0</v>
      </c>
      <c r="E57" s="635"/>
      <c r="F57" s="635"/>
      <c r="G57" s="636" t="str">
        <f>'Calibration Data'!N30</f>
        <v>- -</v>
      </c>
      <c r="H57" s="637"/>
      <c r="I57" s="636" t="e">
        <f>ROUNDUP('Calibration Data'!AO31,2)</f>
        <v>#VALUE!</v>
      </c>
      <c r="J57" s="637"/>
      <c r="K57" s="267" t="e">
        <f>ROUNDUP('Calibration Data'!AQ31,2)</f>
        <v>#VALUE!</v>
      </c>
      <c r="L57" s="636" t="e">
        <f>ROUNDUP('Calibration Data'!AR30,2)</f>
        <v>#VALUE!</v>
      </c>
      <c r="M57" s="638"/>
      <c r="N57" s="637"/>
      <c r="O57" s="639" t="e">
        <f>'Calibration Data'!AZ30</f>
        <v>#VALUE!</v>
      </c>
      <c r="P57" s="640"/>
      <c r="Q57" s="640"/>
      <c r="R57" s="641"/>
      <c r="AA57" s="84"/>
      <c r="AB57" s="75"/>
      <c r="AE57" s="634"/>
      <c r="AF57" s="634"/>
      <c r="AG57" s="634"/>
      <c r="AH57" s="634"/>
      <c r="AI57" s="634"/>
      <c r="AJ57" s="634"/>
      <c r="AK57" s="642"/>
      <c r="AL57" s="642"/>
      <c r="AM57" s="642"/>
      <c r="AN57" s="642"/>
      <c r="AO57" s="642"/>
      <c r="AP57" s="642"/>
      <c r="AQ57" s="634"/>
      <c r="AR57" s="634"/>
      <c r="AS57" s="634"/>
      <c r="AT57" s="634"/>
      <c r="AU57" s="634"/>
      <c r="AV57" s="634"/>
      <c r="AW57" s="634"/>
      <c r="AX57" s="634"/>
      <c r="AY57" s="634"/>
      <c r="AZ57" s="634"/>
    </row>
    <row r="58" spans="1:52" ht="19.149999999999999" customHeight="1" x14ac:dyDescent="0.25">
      <c r="A58" s="620">
        <f>'Calibration Data'!T31</f>
        <v>0</v>
      </c>
      <c r="B58" s="620"/>
      <c r="C58" s="620"/>
      <c r="D58" s="635">
        <f>'Calibration Data'!U31</f>
        <v>0</v>
      </c>
      <c r="E58" s="635"/>
      <c r="F58" s="635"/>
      <c r="G58" s="636" t="str">
        <f>'Calibration Data'!N31</f>
        <v>- -</v>
      </c>
      <c r="H58" s="637"/>
      <c r="I58" s="636" t="e">
        <f>ROUNDUP('Calibration Data'!AO32,2)</f>
        <v>#VALUE!</v>
      </c>
      <c r="J58" s="637"/>
      <c r="K58" s="267" t="e">
        <f>ROUNDUP('Calibration Data'!AQ32,2)</f>
        <v>#VALUE!</v>
      </c>
      <c r="L58" s="636" t="e">
        <f>ROUNDUP('Calibration Data'!AR31,2)</f>
        <v>#VALUE!</v>
      </c>
      <c r="M58" s="638"/>
      <c r="N58" s="637"/>
      <c r="O58" s="639" t="e">
        <f>'Calibration Data'!AZ31</f>
        <v>#VALUE!</v>
      </c>
      <c r="P58" s="640"/>
      <c r="Q58" s="640"/>
      <c r="R58" s="641"/>
      <c r="AA58" s="84"/>
      <c r="AB58" s="75"/>
      <c r="AE58" s="634"/>
      <c r="AF58" s="634"/>
      <c r="AG58" s="634"/>
      <c r="AH58" s="634"/>
      <c r="AI58" s="634"/>
      <c r="AJ58" s="634"/>
      <c r="AK58" s="642"/>
      <c r="AL58" s="642"/>
      <c r="AM58" s="642"/>
      <c r="AN58" s="642"/>
      <c r="AO58" s="642"/>
      <c r="AP58" s="642"/>
      <c r="AQ58" s="634"/>
      <c r="AR58" s="634"/>
      <c r="AS58" s="634"/>
      <c r="AT58" s="634"/>
      <c r="AU58" s="634"/>
      <c r="AV58" s="634"/>
      <c r="AW58" s="634"/>
      <c r="AX58" s="634"/>
      <c r="AY58" s="634"/>
      <c r="AZ58" s="634"/>
    </row>
    <row r="59" spans="1:52" ht="19.149999999999999" customHeight="1" x14ac:dyDescent="0.25">
      <c r="A59" s="620">
        <f>'Calibration Data'!T32</f>
        <v>0</v>
      </c>
      <c r="B59" s="620"/>
      <c r="C59" s="620"/>
      <c r="D59" s="635">
        <f>'Calibration Data'!U32</f>
        <v>0</v>
      </c>
      <c r="E59" s="635"/>
      <c r="F59" s="635"/>
      <c r="G59" s="636" t="str">
        <f>'Calibration Data'!N32</f>
        <v>- -</v>
      </c>
      <c r="H59" s="637"/>
      <c r="I59" s="636" t="e">
        <f>ROUNDUP('Calibration Data'!AO33,2)</f>
        <v>#VALUE!</v>
      </c>
      <c r="J59" s="637"/>
      <c r="K59" s="267" t="e">
        <f>ROUNDUP('Calibration Data'!AQ33,2)</f>
        <v>#VALUE!</v>
      </c>
      <c r="L59" s="636" t="e">
        <f>ROUNDUP('Calibration Data'!AR32,2)</f>
        <v>#VALUE!</v>
      </c>
      <c r="M59" s="638"/>
      <c r="N59" s="637"/>
      <c r="O59" s="639" t="e">
        <f>'Calibration Data'!AZ32</f>
        <v>#VALUE!</v>
      </c>
      <c r="P59" s="640"/>
      <c r="Q59" s="640"/>
      <c r="R59" s="641"/>
      <c r="AA59" s="84"/>
      <c r="AB59" s="75"/>
      <c r="AE59" s="634"/>
      <c r="AF59" s="634"/>
      <c r="AG59" s="634"/>
      <c r="AH59" s="634"/>
      <c r="AI59" s="634"/>
      <c r="AJ59" s="634"/>
      <c r="AK59" s="642"/>
      <c r="AL59" s="642"/>
      <c r="AM59" s="642"/>
      <c r="AN59" s="642"/>
      <c r="AO59" s="642"/>
      <c r="AP59" s="642"/>
      <c r="AQ59" s="634"/>
      <c r="AR59" s="634"/>
      <c r="AS59" s="634"/>
      <c r="AT59" s="634"/>
      <c r="AU59" s="634"/>
      <c r="AV59" s="634"/>
      <c r="AW59" s="634"/>
      <c r="AX59" s="634"/>
      <c r="AY59" s="634"/>
      <c r="AZ59" s="634"/>
    </row>
    <row r="60" spans="1:52" ht="19.149999999999999" customHeight="1" x14ac:dyDescent="0.25">
      <c r="A60" s="620">
        <f>'Calibration Data'!T33</f>
        <v>0</v>
      </c>
      <c r="B60" s="620"/>
      <c r="C60" s="620"/>
      <c r="D60" s="635">
        <f>'Calibration Data'!U33</f>
        <v>0</v>
      </c>
      <c r="E60" s="635"/>
      <c r="F60" s="635"/>
      <c r="G60" s="636" t="str">
        <f>'Calibration Data'!N33</f>
        <v>- -</v>
      </c>
      <c r="H60" s="637"/>
      <c r="I60" s="636" t="e">
        <f>ROUNDUP('Calibration Data'!AO34,2)</f>
        <v>#VALUE!</v>
      </c>
      <c r="J60" s="637"/>
      <c r="K60" s="267" t="e">
        <f>ROUNDUP('Calibration Data'!AQ34,2)</f>
        <v>#VALUE!</v>
      </c>
      <c r="L60" s="636" t="e">
        <f>ROUNDUP('Calibration Data'!AR33,2)</f>
        <v>#VALUE!</v>
      </c>
      <c r="M60" s="638"/>
      <c r="N60" s="637"/>
      <c r="O60" s="639" t="e">
        <f>'Calibration Data'!AZ33</f>
        <v>#VALUE!</v>
      </c>
      <c r="P60" s="640"/>
      <c r="Q60" s="640"/>
      <c r="R60" s="641"/>
      <c r="AA60" s="84"/>
      <c r="AB60" s="75"/>
      <c r="AE60" s="89"/>
      <c r="AF60" s="89"/>
      <c r="AG60" s="89"/>
      <c r="AH60" s="89"/>
      <c r="AI60" s="89"/>
      <c r="AJ60" s="89"/>
      <c r="AK60" s="90"/>
      <c r="AL60" s="90"/>
      <c r="AM60" s="90"/>
      <c r="AN60" s="90"/>
      <c r="AO60" s="90"/>
      <c r="AP60" s="90"/>
      <c r="AQ60" s="89"/>
      <c r="AR60" s="89"/>
      <c r="AS60" s="89"/>
      <c r="AT60" s="89"/>
      <c r="AU60" s="89"/>
      <c r="AV60" s="89"/>
      <c r="AW60" s="89"/>
      <c r="AX60" s="89"/>
      <c r="AY60" s="89"/>
      <c r="AZ60" s="89"/>
    </row>
    <row r="61" spans="1:52" ht="19.149999999999999" customHeight="1" x14ac:dyDescent="0.25">
      <c r="A61" s="620">
        <f>'Calibration Data'!T34</f>
        <v>0</v>
      </c>
      <c r="B61" s="620"/>
      <c r="C61" s="620"/>
      <c r="D61" s="635">
        <f>'Calibration Data'!U34</f>
        <v>0</v>
      </c>
      <c r="E61" s="635"/>
      <c r="F61" s="635"/>
      <c r="G61" s="636" t="str">
        <f>'Calibration Data'!N34</f>
        <v>- -</v>
      </c>
      <c r="H61" s="637"/>
      <c r="I61" s="636">
        <f>ROUNDUP('Calibration Data'!AO35,2)</f>
        <v>0</v>
      </c>
      <c r="J61" s="637"/>
      <c r="K61" s="267">
        <f>ROUNDUP('Calibration Data'!AQ35,2)</f>
        <v>0</v>
      </c>
      <c r="L61" s="636" t="e">
        <f>ROUNDUP('Calibration Data'!AR34,2)</f>
        <v>#VALUE!</v>
      </c>
      <c r="M61" s="638"/>
      <c r="N61" s="637"/>
      <c r="O61" s="639" t="e">
        <f>'Calibration Data'!AZ34</f>
        <v>#VALUE!</v>
      </c>
      <c r="P61" s="640"/>
      <c r="Q61" s="640"/>
      <c r="R61" s="641"/>
      <c r="AA61" s="84"/>
      <c r="AB61" s="75"/>
      <c r="AE61" s="634"/>
      <c r="AF61" s="634"/>
      <c r="AG61" s="634"/>
      <c r="AH61" s="634"/>
      <c r="AI61" s="634"/>
      <c r="AJ61" s="634"/>
      <c r="AK61" s="642"/>
      <c r="AL61" s="642"/>
      <c r="AM61" s="642"/>
      <c r="AN61" s="642"/>
      <c r="AO61" s="642"/>
      <c r="AP61" s="642"/>
      <c r="AQ61" s="634"/>
      <c r="AR61" s="634"/>
      <c r="AS61" s="634"/>
      <c r="AT61" s="634"/>
      <c r="AU61" s="634"/>
      <c r="AV61" s="634"/>
      <c r="AW61" s="634"/>
      <c r="AX61" s="634"/>
      <c r="AY61" s="634"/>
      <c r="AZ61" s="634"/>
    </row>
    <row r="62" spans="1:52" ht="7.9" customHeight="1" x14ac:dyDescent="0.2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52" ht="9.6" customHeight="1" x14ac:dyDescent="0.25">
      <c r="A63" s="80"/>
      <c r="B63" s="80"/>
      <c r="C63" s="75"/>
      <c r="D63" s="75"/>
      <c r="E63" s="75"/>
      <c r="F63" s="75"/>
      <c r="G63" s="80"/>
      <c r="H63" s="80"/>
      <c r="I63" s="75"/>
      <c r="K63" s="96"/>
      <c r="L63" s="613"/>
      <c r="M63" s="613"/>
      <c r="N63" s="613"/>
      <c r="O63" s="613"/>
      <c r="P63" s="613"/>
      <c r="Q63" s="613"/>
      <c r="R63" s="613"/>
      <c r="S63" s="643"/>
      <c r="T63" s="643"/>
      <c r="U63" s="80"/>
      <c r="V63" s="614"/>
      <c r="W63" s="614"/>
      <c r="X63" s="77"/>
      <c r="Y63" s="75"/>
      <c r="Z63" s="75"/>
      <c r="AA63" s="75"/>
      <c r="AB63" s="75"/>
    </row>
    <row r="64" spans="1:52" ht="15.75" x14ac:dyDescent="0.25">
      <c r="A64" s="26" t="s">
        <v>146</v>
      </c>
      <c r="B64" s="80"/>
      <c r="C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spans="1:28" ht="15.75" x14ac:dyDescent="0.25">
      <c r="B65" s="80"/>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spans="1:28" ht="15.75" customHeight="1" x14ac:dyDescent="0.25">
      <c r="A66" s="98" t="s">
        <v>147</v>
      </c>
      <c r="B66" s="618" t="s">
        <v>159</v>
      </c>
      <c r="C66" s="618"/>
      <c r="D66" s="618"/>
      <c r="E66" s="618"/>
      <c r="F66" s="618"/>
      <c r="G66" s="618"/>
      <c r="H66" s="618"/>
      <c r="I66" s="618"/>
      <c r="J66" s="618"/>
      <c r="K66" s="618"/>
      <c r="L66" s="618"/>
      <c r="M66" s="618"/>
      <c r="N66" s="618"/>
      <c r="O66" s="618"/>
      <c r="P66" s="618"/>
      <c r="Q66" s="618"/>
      <c r="R66" s="618"/>
      <c r="S66" s="83"/>
      <c r="T66" s="83"/>
      <c r="U66" s="83"/>
      <c r="V66" s="83"/>
      <c r="W66" s="83"/>
      <c r="X66" s="83"/>
      <c r="Y66" s="83"/>
      <c r="Z66" s="83"/>
      <c r="AA66" s="95"/>
      <c r="AB66" s="109" t="s">
        <v>264</v>
      </c>
    </row>
    <row r="67" spans="1:28" ht="14.25" customHeight="1" x14ac:dyDescent="0.25">
      <c r="A67" s="98"/>
      <c r="B67" s="618"/>
      <c r="C67" s="618"/>
      <c r="D67" s="618"/>
      <c r="E67" s="618"/>
      <c r="F67" s="618"/>
      <c r="G67" s="618"/>
      <c r="H67" s="618"/>
      <c r="I67" s="618"/>
      <c r="J67" s="618"/>
      <c r="K67" s="618"/>
      <c r="L67" s="618"/>
      <c r="M67" s="618"/>
      <c r="N67" s="618"/>
      <c r="O67" s="618"/>
      <c r="P67" s="618"/>
      <c r="Q67" s="618"/>
      <c r="R67" s="618"/>
      <c r="S67" s="83"/>
      <c r="T67" s="83"/>
      <c r="U67" s="83"/>
      <c r="V67" s="83"/>
      <c r="W67" s="83"/>
      <c r="X67" s="83"/>
      <c r="Y67" s="83"/>
      <c r="Z67" s="83"/>
      <c r="AA67" s="95"/>
      <c r="AB67" s="95"/>
    </row>
    <row r="68" spans="1:28" ht="60.75" hidden="1" customHeight="1" x14ac:dyDescent="0.25">
      <c r="A68" s="106" t="s">
        <v>147</v>
      </c>
      <c r="B68" s="618"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618"/>
      <c r="D68" s="618"/>
      <c r="E68" s="618"/>
      <c r="F68" s="618"/>
      <c r="G68" s="618"/>
      <c r="H68" s="618"/>
      <c r="I68" s="618"/>
      <c r="J68" s="618"/>
      <c r="K68" s="618"/>
      <c r="L68" s="618"/>
      <c r="M68" s="618"/>
      <c r="N68" s="618"/>
      <c r="O68" s="618"/>
      <c r="P68" s="618"/>
      <c r="Q68" s="618"/>
      <c r="R68" s="618"/>
      <c r="S68" s="95"/>
      <c r="T68" s="95"/>
      <c r="U68" s="95"/>
      <c r="V68" s="95"/>
      <c r="W68" s="95"/>
      <c r="X68" s="95"/>
      <c r="Y68" s="95"/>
      <c r="Z68" s="95"/>
      <c r="AA68" s="95"/>
      <c r="AB68" s="95"/>
    </row>
    <row r="69" spans="1:28" ht="30" customHeight="1" x14ac:dyDescent="0.25">
      <c r="A69" s="107" t="s">
        <v>147</v>
      </c>
      <c r="B69" s="618" t="s">
        <v>160</v>
      </c>
      <c r="C69" s="618"/>
      <c r="D69" s="618"/>
      <c r="E69" s="618"/>
      <c r="F69" s="618"/>
      <c r="G69" s="618"/>
      <c r="H69" s="618"/>
      <c r="I69" s="618"/>
      <c r="J69" s="618"/>
      <c r="K69" s="618"/>
      <c r="L69" s="618"/>
      <c r="M69" s="618"/>
      <c r="N69" s="618"/>
      <c r="O69" s="618"/>
      <c r="P69" s="618"/>
      <c r="Q69" s="618"/>
      <c r="R69" s="618"/>
      <c r="S69" s="95"/>
      <c r="T69" s="95"/>
      <c r="U69" s="95"/>
      <c r="V69" s="95"/>
      <c r="W69" s="95"/>
      <c r="X69" s="95"/>
      <c r="Y69" s="95"/>
      <c r="Z69" s="95"/>
      <c r="AA69" s="95"/>
      <c r="AB69" s="95"/>
    </row>
    <row r="70" spans="1:28" ht="15.6" customHeight="1" x14ac:dyDescent="0.25">
      <c r="A70" s="98" t="s">
        <v>147</v>
      </c>
      <c r="B70" s="618" t="str">
        <f>"The conversion factor used is: 1 "&amp;Software!E21&amp;" = "&amp;Software!S46&amp;" kN."</f>
        <v>The conversion factor used is: 1 kgf =  kN.</v>
      </c>
      <c r="C70" s="618"/>
      <c r="D70" s="618"/>
      <c r="E70" s="618"/>
      <c r="F70" s="618"/>
      <c r="G70" s="618"/>
      <c r="H70" s="618"/>
      <c r="I70" s="618"/>
      <c r="J70" s="618"/>
      <c r="K70" s="618"/>
      <c r="L70" s="618"/>
      <c r="M70" s="618"/>
      <c r="N70" s="618"/>
      <c r="O70" s="618"/>
      <c r="P70" s="618"/>
      <c r="Q70" s="618"/>
      <c r="R70" s="618"/>
      <c r="S70" s="278"/>
      <c r="T70" s="278"/>
      <c r="U70" s="278"/>
      <c r="V70" s="278"/>
      <c r="W70" s="278"/>
      <c r="X70" s="278"/>
      <c r="Y70" s="278"/>
      <c r="Z70" s="278"/>
      <c r="AA70" s="95"/>
      <c r="AB70" s="95"/>
    </row>
    <row r="71" spans="1:28" ht="15.75" customHeight="1" x14ac:dyDescent="0.25">
      <c r="A71" s="98" t="s">
        <v>147</v>
      </c>
      <c r="B71" s="618" t="str">
        <f>"The testing machine was calibrated at the "&amp;'Dash Board'!N7&amp;" of "&amp;'Dash Board'!D7&amp;" at "&amp;'Dash Board'!D8&amp;IF('Dash Board'!D9&lt;&gt;"",", "&amp;'Dash Board'!D9&amp;".",".")</f>
        <v>The testing machine was calibrated at the Force Standards Laboratory, NML ITDI of SAVVICE CORPORATION at 3rd Floor BMWC Bldg., Cagayan Valley Road, Sta. Rita, Guiginto, Bulacan.</v>
      </c>
      <c r="C71" s="618"/>
      <c r="D71" s="618"/>
      <c r="E71" s="618"/>
      <c r="F71" s="618"/>
      <c r="G71" s="618"/>
      <c r="H71" s="618"/>
      <c r="I71" s="618"/>
      <c r="J71" s="618"/>
      <c r="K71" s="618"/>
      <c r="L71" s="618"/>
      <c r="M71" s="618"/>
      <c r="N71" s="618"/>
      <c r="O71" s="618"/>
      <c r="P71" s="618"/>
      <c r="Q71" s="618"/>
      <c r="R71" s="618"/>
      <c r="S71" s="95"/>
      <c r="T71" s="95"/>
      <c r="U71" s="95"/>
      <c r="V71" s="95"/>
      <c r="W71" s="95"/>
      <c r="X71" s="95"/>
      <c r="Y71" s="95"/>
      <c r="Z71" s="95"/>
      <c r="AA71" s="95"/>
      <c r="AB71" s="95"/>
    </row>
    <row r="72" spans="1:28" ht="29.25" customHeight="1" x14ac:dyDescent="0.25">
      <c r="A72" s="98"/>
      <c r="B72" s="618"/>
      <c r="C72" s="618"/>
      <c r="D72" s="618"/>
      <c r="E72" s="618"/>
      <c r="F72" s="618"/>
      <c r="G72" s="618"/>
      <c r="H72" s="618"/>
      <c r="I72" s="618"/>
      <c r="J72" s="618"/>
      <c r="K72" s="618"/>
      <c r="L72" s="618"/>
      <c r="M72" s="618"/>
      <c r="N72" s="618"/>
      <c r="O72" s="618"/>
      <c r="P72" s="618"/>
      <c r="Q72" s="618"/>
      <c r="R72" s="618"/>
      <c r="S72" s="95"/>
      <c r="T72" s="95"/>
      <c r="U72" s="95"/>
      <c r="V72" s="95"/>
      <c r="W72" s="95"/>
      <c r="X72" s="95"/>
      <c r="Y72" s="95"/>
      <c r="Z72" s="95"/>
      <c r="AA72" s="95"/>
      <c r="AB72" s="95"/>
    </row>
    <row r="73" spans="1:28" ht="15" customHeight="1" x14ac:dyDescent="0.25">
      <c r="A73" s="98"/>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5"/>
      <c r="AB73" s="95"/>
    </row>
    <row r="74" spans="1:28" ht="15" customHeight="1" x14ac:dyDescent="0.25">
      <c r="A74" s="80"/>
      <c r="B74" s="95"/>
      <c r="C74" s="95"/>
      <c r="D74" s="95"/>
      <c r="E74" s="95"/>
      <c r="F74" s="95"/>
      <c r="G74" s="95"/>
      <c r="H74" s="95"/>
      <c r="I74" s="95"/>
      <c r="J74" s="95"/>
      <c r="K74" s="95"/>
      <c r="L74" s="95"/>
      <c r="M74" s="95"/>
      <c r="N74" s="95"/>
      <c r="O74" s="95"/>
      <c r="P74" s="75"/>
      <c r="Q74" s="75"/>
      <c r="R74" s="75"/>
      <c r="S74" s="75"/>
      <c r="T74" s="75"/>
      <c r="U74" s="75"/>
      <c r="V74" s="75"/>
      <c r="W74" s="75"/>
      <c r="X74" s="75"/>
      <c r="Y74" s="75"/>
      <c r="Z74" s="75"/>
      <c r="AA74" s="75"/>
      <c r="AB74" s="75"/>
    </row>
    <row r="75" spans="1:28" ht="15.75" x14ac:dyDescent="0.25">
      <c r="A75" s="645" t="s">
        <v>148</v>
      </c>
      <c r="B75" s="645"/>
      <c r="C75" s="645"/>
      <c r="D75" s="645"/>
      <c r="E75" s="645"/>
      <c r="F75" s="645"/>
      <c r="G75" s="645"/>
      <c r="H75" s="645"/>
      <c r="I75" s="75"/>
      <c r="J75" s="75"/>
      <c r="K75" s="75"/>
      <c r="L75" s="75"/>
      <c r="M75" s="95"/>
      <c r="N75" s="95"/>
      <c r="O75" s="95"/>
      <c r="P75" s="75"/>
      <c r="Q75" s="75"/>
      <c r="R75" s="75"/>
      <c r="S75" s="75"/>
      <c r="T75" s="75"/>
      <c r="U75" s="75"/>
      <c r="V75" s="75"/>
      <c r="W75" s="75"/>
      <c r="X75" s="75"/>
      <c r="Y75" s="75"/>
      <c r="Z75" s="75"/>
      <c r="AA75" s="75"/>
      <c r="AB75" s="75"/>
    </row>
    <row r="76" spans="1:28" ht="15.6" customHeight="1" x14ac:dyDescent="0.25">
      <c r="A76" s="644" t="s">
        <v>149</v>
      </c>
      <c r="B76" s="644"/>
      <c r="C76" s="644"/>
      <c r="D76" s="644"/>
      <c r="E76" s="644"/>
      <c r="F76" s="644"/>
      <c r="G76" s="644"/>
      <c r="H76" s="644"/>
      <c r="I76" s="95"/>
      <c r="J76" s="95"/>
      <c r="K76" s="95"/>
      <c r="L76" s="95"/>
      <c r="M76" s="95"/>
      <c r="N76" s="95"/>
      <c r="O76" s="95"/>
      <c r="P76" s="75"/>
      <c r="Q76" s="75"/>
      <c r="R76" s="75"/>
      <c r="S76" s="75"/>
      <c r="T76" s="75"/>
      <c r="U76" s="75"/>
      <c r="V76" s="75"/>
      <c r="W76" s="75"/>
      <c r="X76" s="75"/>
      <c r="Y76" s="75"/>
      <c r="Z76" s="75"/>
      <c r="AA76" s="75"/>
      <c r="AB76" s="75"/>
    </row>
    <row r="77" spans="1:28" ht="15" customHeight="1" x14ac:dyDescent="0.25">
      <c r="A77" s="75"/>
      <c r="B77" s="75"/>
      <c r="C77" s="75"/>
      <c r="D77" s="75"/>
      <c r="E77" s="75"/>
      <c r="F77" s="75"/>
      <c r="G77" s="75"/>
      <c r="H77" s="75"/>
      <c r="I77" s="75"/>
      <c r="J77" s="75"/>
      <c r="K77" s="75"/>
      <c r="L77" s="75"/>
      <c r="M77" s="95"/>
      <c r="N77" s="95"/>
      <c r="O77" s="95"/>
      <c r="P77" s="75"/>
      <c r="Q77" s="75"/>
      <c r="R77" s="75"/>
      <c r="S77" s="75"/>
      <c r="T77" s="75"/>
      <c r="U77" s="75"/>
      <c r="V77" s="75"/>
      <c r="W77" s="75"/>
      <c r="X77" s="75"/>
      <c r="Y77" s="75"/>
      <c r="Z77" s="75"/>
      <c r="AA77" s="75"/>
      <c r="AB77" s="75"/>
    </row>
    <row r="78" spans="1:28" ht="15" customHeight="1" x14ac:dyDescent="0.25">
      <c r="B78" s="75"/>
      <c r="C78" s="75"/>
      <c r="D78" s="75"/>
      <c r="E78" s="75"/>
      <c r="F78" s="75"/>
      <c r="G78" s="75"/>
      <c r="H78" s="75"/>
      <c r="I78" s="75"/>
      <c r="J78" s="75"/>
      <c r="K78" s="75"/>
      <c r="L78" s="75"/>
      <c r="M78" s="95"/>
      <c r="N78" s="95"/>
      <c r="O78" s="95"/>
      <c r="P78" s="75"/>
      <c r="Q78" s="75"/>
      <c r="R78" s="75"/>
      <c r="S78" s="75"/>
      <c r="T78" s="75"/>
      <c r="U78" s="75"/>
      <c r="V78" s="75"/>
      <c r="W78" s="75"/>
      <c r="X78" s="75"/>
      <c r="Y78" s="75"/>
      <c r="Z78" s="75"/>
      <c r="AA78" s="75"/>
      <c r="AB78" s="75"/>
    </row>
    <row r="79" spans="1:28" ht="15.75" x14ac:dyDescent="0.25">
      <c r="A79" s="645" t="s">
        <v>151</v>
      </c>
      <c r="B79" s="645"/>
      <c r="C79" s="645"/>
      <c r="D79" s="645"/>
      <c r="E79" s="645"/>
      <c r="F79" s="645"/>
      <c r="G79" s="645"/>
      <c r="H79" s="645"/>
      <c r="I79" s="75"/>
      <c r="J79" s="75"/>
      <c r="K79" s="75"/>
      <c r="L79" s="75"/>
      <c r="M79" s="95"/>
      <c r="N79" s="95"/>
      <c r="O79" s="95"/>
      <c r="P79" s="75"/>
      <c r="Q79" s="75"/>
      <c r="R79" s="75"/>
      <c r="S79" s="75"/>
      <c r="T79" s="75"/>
      <c r="U79" s="75"/>
      <c r="V79" s="75"/>
      <c r="W79" s="75"/>
      <c r="X79" s="75"/>
      <c r="Y79" s="75"/>
      <c r="Z79" s="75"/>
      <c r="AA79" s="75"/>
      <c r="AB79" s="75"/>
    </row>
    <row r="80" spans="1:28" ht="15.75" x14ac:dyDescent="0.25">
      <c r="A80" s="645" t="s">
        <v>265</v>
      </c>
      <c r="B80" s="645"/>
      <c r="C80" s="645"/>
      <c r="D80" s="645"/>
      <c r="E80" s="645"/>
      <c r="F80" s="645"/>
      <c r="G80" s="645"/>
      <c r="H80" s="645"/>
      <c r="I80" s="75"/>
      <c r="J80" s="75"/>
      <c r="K80" s="75"/>
      <c r="L80" s="75"/>
      <c r="M80" s="95"/>
      <c r="N80" s="95"/>
      <c r="O80" s="95"/>
      <c r="P80" s="75"/>
      <c r="Q80" s="75"/>
      <c r="R80" s="75"/>
      <c r="S80" s="75"/>
      <c r="T80" s="75"/>
      <c r="U80" s="75"/>
      <c r="V80" s="75"/>
      <c r="W80" s="75"/>
      <c r="X80" s="75"/>
      <c r="Y80" s="75"/>
      <c r="Z80" s="75"/>
      <c r="AA80" s="75"/>
      <c r="AB80" s="75"/>
    </row>
    <row r="81" spans="1:28" ht="11.45" customHeight="1" x14ac:dyDescent="0.25">
      <c r="A81" s="80"/>
      <c r="B81" s="80"/>
      <c r="C81" s="95"/>
      <c r="D81" s="95"/>
      <c r="E81" s="95"/>
      <c r="F81" s="95"/>
      <c r="G81" s="95"/>
      <c r="H81" s="95"/>
      <c r="I81" s="95"/>
      <c r="J81" s="95"/>
      <c r="K81" s="95"/>
      <c r="L81" s="95"/>
      <c r="M81" s="95"/>
      <c r="N81" s="95"/>
      <c r="Q81" s="75"/>
      <c r="R81" s="75"/>
      <c r="S81" s="75"/>
      <c r="T81" s="75"/>
      <c r="U81" s="75"/>
      <c r="V81" s="75"/>
      <c r="W81" s="75"/>
      <c r="X81" s="75"/>
      <c r="Y81" s="75"/>
      <c r="Z81" s="75"/>
      <c r="AA81" s="75"/>
      <c r="AB81" s="75"/>
    </row>
    <row r="82" spans="1:28" ht="15.6" customHeight="1" x14ac:dyDescent="0.25">
      <c r="A82" s="80"/>
      <c r="B82" s="80"/>
      <c r="C82" s="95"/>
      <c r="D82" s="95"/>
      <c r="E82" s="95"/>
      <c r="F82" s="95"/>
      <c r="G82" s="95"/>
      <c r="H82" s="95"/>
      <c r="I82" s="95"/>
      <c r="J82" s="95"/>
      <c r="K82" s="646" t="s">
        <v>150</v>
      </c>
      <c r="L82" s="646"/>
      <c r="M82" s="646"/>
      <c r="N82" s="646"/>
      <c r="O82" s="646"/>
      <c r="P82" s="646"/>
      <c r="Q82" s="646"/>
      <c r="R82" s="646"/>
      <c r="S82" s="100"/>
      <c r="T82" s="100"/>
      <c r="U82" s="100"/>
      <c r="V82" s="100"/>
      <c r="W82" s="100"/>
      <c r="X82" s="100"/>
      <c r="Y82" s="100"/>
      <c r="Z82" s="75"/>
      <c r="AA82" s="75"/>
      <c r="AB82" s="75"/>
    </row>
    <row r="83" spans="1:28" ht="15" customHeight="1" x14ac:dyDescent="0.25">
      <c r="A83" s="80"/>
      <c r="B83" s="80"/>
      <c r="C83" s="75"/>
      <c r="D83" s="75"/>
      <c r="E83" s="75"/>
      <c r="F83" s="75"/>
      <c r="G83" s="75"/>
      <c r="H83" s="75"/>
      <c r="I83" s="75"/>
      <c r="J83" s="75"/>
      <c r="K83" s="75"/>
      <c r="L83" s="75"/>
      <c r="M83" s="75"/>
      <c r="N83" s="75"/>
      <c r="O83" s="75"/>
      <c r="Q83" s="75"/>
      <c r="R83" s="75"/>
      <c r="S83" s="75"/>
      <c r="T83" s="75"/>
      <c r="U83" s="75"/>
      <c r="V83" s="75"/>
      <c r="W83" s="75"/>
      <c r="X83" s="75"/>
      <c r="Y83" s="75"/>
      <c r="Z83" s="75"/>
      <c r="AA83" s="75"/>
      <c r="AB83" s="75"/>
    </row>
    <row r="84" spans="1:28" ht="15" customHeight="1" x14ac:dyDescent="0.25">
      <c r="A84" s="80"/>
      <c r="B84" s="8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spans="1:28" ht="15.75" x14ac:dyDescent="0.25">
      <c r="A85" s="80"/>
      <c r="B85" s="80"/>
      <c r="C85" s="75"/>
      <c r="D85" s="75"/>
      <c r="E85" s="75"/>
      <c r="F85" s="75"/>
      <c r="G85" s="75"/>
      <c r="H85" s="75"/>
      <c r="I85" s="75"/>
      <c r="J85" s="75"/>
      <c r="K85" s="645" t="s">
        <v>266</v>
      </c>
      <c r="L85" s="645"/>
      <c r="M85" s="645"/>
      <c r="N85" s="645"/>
      <c r="O85" s="645"/>
      <c r="P85" s="645"/>
      <c r="Q85" s="645"/>
      <c r="R85" s="645"/>
      <c r="S85" s="75"/>
      <c r="T85" s="75"/>
      <c r="U85" s="75"/>
      <c r="V85" s="75"/>
      <c r="W85" s="75"/>
      <c r="X85" s="75"/>
      <c r="Y85" s="75"/>
      <c r="Z85" s="100"/>
      <c r="AA85" s="95"/>
      <c r="AB85" s="95"/>
    </row>
    <row r="86" spans="1:28" ht="15.75" x14ac:dyDescent="0.25">
      <c r="A86" s="80"/>
      <c r="B86" s="80"/>
      <c r="C86" s="75"/>
      <c r="D86" s="75"/>
      <c r="E86" s="75"/>
      <c r="F86" s="75"/>
      <c r="G86" s="75"/>
      <c r="H86" s="75"/>
      <c r="I86" s="75"/>
      <c r="J86" s="75"/>
      <c r="K86" s="645" t="s">
        <v>152</v>
      </c>
      <c r="L86" s="645"/>
      <c r="M86" s="645"/>
      <c r="N86" s="645"/>
      <c r="O86" s="645"/>
      <c r="P86" s="645"/>
      <c r="Q86" s="645"/>
      <c r="R86" s="645"/>
      <c r="S86" s="75"/>
      <c r="T86" s="75"/>
      <c r="U86" s="75"/>
      <c r="V86" s="75"/>
      <c r="W86" s="75"/>
      <c r="X86" s="75"/>
      <c r="Y86" s="75"/>
      <c r="Z86" s="100"/>
      <c r="AA86" s="95"/>
      <c r="AB86" s="95"/>
    </row>
    <row r="87" spans="1:28" ht="37.9" customHeight="1" x14ac:dyDescent="0.25">
      <c r="B87" s="101"/>
      <c r="G87" s="101"/>
      <c r="H87" s="101"/>
      <c r="J87" s="103"/>
      <c r="K87" s="103"/>
      <c r="L87" s="103"/>
      <c r="M87" s="103"/>
      <c r="N87" s="103"/>
    </row>
    <row r="88" spans="1:28" x14ac:dyDescent="0.25">
      <c r="B88" s="101" t="s">
        <v>153</v>
      </c>
      <c r="E88" s="102"/>
      <c r="O88" s="104"/>
    </row>
    <row r="89" spans="1:28" x14ac:dyDescent="0.25">
      <c r="B89" s="101" t="str">
        <f>"Calibration Certificate No. "&amp;'Dash Board'!D18</f>
        <v>Calibration Certificate No. 03-2026-FORC-0087</v>
      </c>
      <c r="C89" s="101"/>
      <c r="D89" s="101"/>
      <c r="E89" s="101"/>
      <c r="F89" s="101"/>
      <c r="G89" s="101"/>
      <c r="H89" s="101"/>
    </row>
  </sheetData>
  <mergeCells count="149">
    <mergeCell ref="A76:H76"/>
    <mergeCell ref="A79:H79"/>
    <mergeCell ref="A80:H80"/>
    <mergeCell ref="K82:R82"/>
    <mergeCell ref="K85:R85"/>
    <mergeCell ref="K86:R86"/>
    <mergeCell ref="B66:R67"/>
    <mergeCell ref="B68:R68"/>
    <mergeCell ref="B69:R69"/>
    <mergeCell ref="B70:R70"/>
    <mergeCell ref="B71:R72"/>
    <mergeCell ref="A75:H75"/>
    <mergeCell ref="L63:R63"/>
    <mergeCell ref="S63:T63"/>
    <mergeCell ref="V63:W63"/>
    <mergeCell ref="A61:C61"/>
    <mergeCell ref="D61:F61"/>
    <mergeCell ref="G61:H61"/>
    <mergeCell ref="I61:J61"/>
    <mergeCell ref="L61:N61"/>
    <mergeCell ref="O61:R61"/>
    <mergeCell ref="AV59:AZ59"/>
    <mergeCell ref="A60:C60"/>
    <mergeCell ref="D60:F60"/>
    <mergeCell ref="G60:H60"/>
    <mergeCell ref="I60:J60"/>
    <mergeCell ref="L60:N60"/>
    <mergeCell ref="O60:R60"/>
    <mergeCell ref="AE61:AJ61"/>
    <mergeCell ref="AK61:AP61"/>
    <mergeCell ref="AQ61:AU61"/>
    <mergeCell ref="AV61:AZ61"/>
    <mergeCell ref="A59:C59"/>
    <mergeCell ref="D59:F59"/>
    <mergeCell ref="G59:H59"/>
    <mergeCell ref="I59:J59"/>
    <mergeCell ref="L59:N59"/>
    <mergeCell ref="O59:R59"/>
    <mergeCell ref="AE59:AJ59"/>
    <mergeCell ref="AK59:AP59"/>
    <mergeCell ref="AQ59:AU59"/>
    <mergeCell ref="AE57:AJ57"/>
    <mergeCell ref="AK57:AP57"/>
    <mergeCell ref="AQ57:AU57"/>
    <mergeCell ref="AV57:AZ57"/>
    <mergeCell ref="A58:C58"/>
    <mergeCell ref="D58:F58"/>
    <mergeCell ref="G58:H58"/>
    <mergeCell ref="I58:J58"/>
    <mergeCell ref="L58:N58"/>
    <mergeCell ref="O58:R58"/>
    <mergeCell ref="A57:C57"/>
    <mergeCell ref="D57:F57"/>
    <mergeCell ref="G57:H57"/>
    <mergeCell ref="I57:J57"/>
    <mergeCell ref="L57:N57"/>
    <mergeCell ref="O57:R57"/>
    <mergeCell ref="AE58:AJ58"/>
    <mergeCell ref="AK58:AP58"/>
    <mergeCell ref="AQ58:AU58"/>
    <mergeCell ref="AV58:AZ58"/>
    <mergeCell ref="A56:C56"/>
    <mergeCell ref="D56:F56"/>
    <mergeCell ref="G56:H56"/>
    <mergeCell ref="I56:J56"/>
    <mergeCell ref="L56:N56"/>
    <mergeCell ref="O56:R56"/>
    <mergeCell ref="A55:C55"/>
    <mergeCell ref="D55:F55"/>
    <mergeCell ref="G55:H55"/>
    <mergeCell ref="I55:J55"/>
    <mergeCell ref="L55:N55"/>
    <mergeCell ref="O55:R55"/>
    <mergeCell ref="A54:C54"/>
    <mergeCell ref="D54:F54"/>
    <mergeCell ref="G54:H54"/>
    <mergeCell ref="I54:J54"/>
    <mergeCell ref="L54:N54"/>
    <mergeCell ref="O54:R54"/>
    <mergeCell ref="A53:C53"/>
    <mergeCell ref="D53:F53"/>
    <mergeCell ref="G53:H53"/>
    <mergeCell ref="I53:J53"/>
    <mergeCell ref="L53:N53"/>
    <mergeCell ref="O53:R53"/>
    <mergeCell ref="AQ51:AU51"/>
    <mergeCell ref="AV51:AZ51"/>
    <mergeCell ref="A52:C52"/>
    <mergeCell ref="D52:F52"/>
    <mergeCell ref="G52:H52"/>
    <mergeCell ref="I52:J52"/>
    <mergeCell ref="L52:N52"/>
    <mergeCell ref="O52:R52"/>
    <mergeCell ref="AQ50:AU50"/>
    <mergeCell ref="AV50:AZ50"/>
    <mergeCell ref="A51:C51"/>
    <mergeCell ref="D51:F51"/>
    <mergeCell ref="G51:H51"/>
    <mergeCell ref="I51:J51"/>
    <mergeCell ref="L51:N51"/>
    <mergeCell ref="O51:R51"/>
    <mergeCell ref="AE51:AJ51"/>
    <mergeCell ref="AK51:AP51"/>
    <mergeCell ref="AK49:AP49"/>
    <mergeCell ref="AQ49:AU49"/>
    <mergeCell ref="AV49:AZ49"/>
    <mergeCell ref="A50:C50"/>
    <mergeCell ref="D50:F50"/>
    <mergeCell ref="G50:H50"/>
    <mergeCell ref="I50:J50"/>
    <mergeCell ref="L50:N50"/>
    <mergeCell ref="AE50:AJ50"/>
    <mergeCell ref="AK50:AP50"/>
    <mergeCell ref="A49:F49"/>
    <mergeCell ref="G49:H49"/>
    <mergeCell ref="I49:J49"/>
    <mergeCell ref="L49:N49"/>
    <mergeCell ref="O49:R50"/>
    <mergeCell ref="AE49:AJ49"/>
    <mergeCell ref="H42:I42"/>
    <mergeCell ref="H43:I43"/>
    <mergeCell ref="V43:W43"/>
    <mergeCell ref="A45:R45"/>
    <mergeCell ref="A47:R47"/>
    <mergeCell ref="A48:R48"/>
    <mergeCell ref="A32:F32"/>
    <mergeCell ref="G32:I32"/>
    <mergeCell ref="J32:L32"/>
    <mergeCell ref="M32:R32"/>
    <mergeCell ref="A36:R36"/>
    <mergeCell ref="A38:R38"/>
    <mergeCell ref="A6:R6"/>
    <mergeCell ref="A7:R7"/>
    <mergeCell ref="H9:R9"/>
    <mergeCell ref="H10:R10"/>
    <mergeCell ref="H11:R11"/>
    <mergeCell ref="H12:R12"/>
    <mergeCell ref="A27:R27"/>
    <mergeCell ref="A28:Z28"/>
    <mergeCell ref="A31:F31"/>
    <mergeCell ref="G31:I31"/>
    <mergeCell ref="J31:L31"/>
    <mergeCell ref="M31:R31"/>
    <mergeCell ref="H13:R13"/>
    <mergeCell ref="H14:R14"/>
    <mergeCell ref="H15:R15"/>
    <mergeCell ref="H17:R17"/>
    <mergeCell ref="H18:R18"/>
    <mergeCell ref="H19:R19"/>
  </mergeCells>
  <pageMargins left="0.7" right="0.7" top="0.75" bottom="0" header="0.3" footer="0.5"/>
  <pageSetup paperSize="9" fitToHeight="2" orientation="portrait" r:id="rId1"/>
  <headerFooter differentFirs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6:AL92"/>
  <sheetViews>
    <sheetView view="pageBreakPreview" topLeftCell="A5" zoomScale="96" zoomScaleNormal="130" zoomScaleSheetLayoutView="96" zoomScalePageLayoutView="115" workbookViewId="0">
      <selection activeCell="H19" sqref="H19:R19"/>
    </sheetView>
  </sheetViews>
  <sheetFormatPr defaultColWidth="8.85546875" defaultRowHeight="15" x14ac:dyDescent="0.25"/>
  <cols>
    <col min="1" max="1" width="2.28515625" style="329" customWidth="1"/>
    <col min="2" max="2" width="4.7109375" style="329" customWidth="1"/>
    <col min="3" max="3" width="3.42578125" style="329" customWidth="1"/>
    <col min="4" max="4" width="3.28515625" style="329" customWidth="1"/>
    <col min="5" max="5" width="2" style="329" customWidth="1"/>
    <col min="6" max="6" width="5.85546875" style="329" customWidth="1"/>
    <col min="7" max="7" width="2" style="329" customWidth="1"/>
    <col min="8" max="8" width="9.5703125" style="329" customWidth="1"/>
    <col min="9" max="9" width="5.7109375" style="329" customWidth="1"/>
    <col min="10" max="10" width="9.42578125" style="329" customWidth="1"/>
    <col min="11" max="11" width="13.85546875" style="329" customWidth="1"/>
    <col min="12" max="12" width="3.42578125" style="329" customWidth="1"/>
    <col min="13" max="13" width="5.28515625" style="329" customWidth="1"/>
    <col min="14" max="14" width="5.42578125" style="329" customWidth="1"/>
    <col min="15" max="15" width="3.42578125" style="329" customWidth="1"/>
    <col min="16" max="16" width="0.7109375" style="329" customWidth="1"/>
    <col min="17" max="17" width="4.42578125" style="329" customWidth="1"/>
    <col min="18" max="18" width="1.7109375" style="329" customWidth="1"/>
    <col min="19"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6" spans="1:28" ht="18.75" x14ac:dyDescent="0.25">
      <c r="A6" s="462" t="s">
        <v>133</v>
      </c>
      <c r="B6" s="462"/>
      <c r="C6" s="462"/>
      <c r="D6" s="462"/>
      <c r="E6" s="462"/>
      <c r="F6" s="462"/>
      <c r="G6" s="462"/>
      <c r="H6" s="462"/>
      <c r="I6" s="462"/>
      <c r="J6" s="462"/>
      <c r="K6" s="462"/>
      <c r="L6" s="462"/>
      <c r="M6" s="462"/>
      <c r="N6" s="462"/>
      <c r="O6" s="462"/>
      <c r="P6" s="462"/>
      <c r="Q6" s="462"/>
      <c r="R6" s="462"/>
      <c r="S6" s="328"/>
      <c r="T6" s="328"/>
      <c r="U6" s="328"/>
      <c r="V6" s="328"/>
      <c r="W6" s="328"/>
      <c r="X6" s="328"/>
      <c r="Y6" s="328"/>
      <c r="Z6" s="328"/>
    </row>
    <row r="7" spans="1:28" ht="19.5" x14ac:dyDescent="0.3">
      <c r="A7" s="463" t="str">
        <f>"No. "&amp;'Dash Board'!D18</f>
        <v>No. 03-2026-FORC-0087</v>
      </c>
      <c r="B7" s="463"/>
      <c r="C7" s="463"/>
      <c r="D7" s="463"/>
      <c r="E7" s="463"/>
      <c r="F7" s="463"/>
      <c r="G7" s="463"/>
      <c r="H7" s="463"/>
      <c r="I7" s="463"/>
      <c r="J7" s="463"/>
      <c r="K7" s="463"/>
      <c r="L7" s="463"/>
      <c r="M7" s="463"/>
      <c r="N7" s="463"/>
      <c r="O7" s="463"/>
      <c r="P7" s="463"/>
      <c r="Q7" s="463"/>
      <c r="R7" s="463"/>
      <c r="S7" s="328"/>
      <c r="T7" s="328"/>
      <c r="U7" s="328"/>
      <c r="V7" s="330"/>
    </row>
    <row r="8" spans="1:28" ht="15" customHeight="1" x14ac:dyDescent="0.25"/>
    <row r="9" spans="1:28" ht="15.75" x14ac:dyDescent="0.25">
      <c r="A9" s="331" t="s">
        <v>43</v>
      </c>
      <c r="B9" s="332"/>
      <c r="C9" s="332"/>
      <c r="D9" s="332"/>
      <c r="E9" s="331"/>
      <c r="F9" s="331"/>
      <c r="G9" s="333" t="s">
        <v>134</v>
      </c>
      <c r="H9" s="461">
        <f>'Dash Board'!D17</f>
        <v>46134</v>
      </c>
      <c r="I9" s="461"/>
      <c r="J9" s="461"/>
      <c r="K9" s="461"/>
      <c r="L9" s="461"/>
      <c r="M9" s="461"/>
      <c r="N9" s="461"/>
      <c r="O9" s="461"/>
      <c r="P9" s="461"/>
      <c r="Q9" s="461"/>
      <c r="R9" s="461"/>
      <c r="S9" s="334"/>
      <c r="T9" s="334"/>
      <c r="U9" s="334"/>
      <c r="V9" s="334"/>
      <c r="W9" s="334"/>
      <c r="X9" s="334"/>
      <c r="Y9" s="334"/>
      <c r="Z9" s="334"/>
      <c r="AA9" s="335"/>
      <c r="AB9" s="335"/>
    </row>
    <row r="10" spans="1:28" ht="15.75" x14ac:dyDescent="0.25">
      <c r="A10" s="331" t="s">
        <v>41</v>
      </c>
      <c r="B10" s="332"/>
      <c r="C10" s="332"/>
      <c r="D10" s="332"/>
      <c r="E10" s="331"/>
      <c r="F10" s="331"/>
      <c r="G10" s="333" t="s">
        <v>134</v>
      </c>
      <c r="H10" s="461" t="str">
        <f>'Dash Board'!D19</f>
        <v>Axle Weighing Scale</v>
      </c>
      <c r="I10" s="461"/>
      <c r="J10" s="461"/>
      <c r="K10" s="461"/>
      <c r="L10" s="461"/>
      <c r="M10" s="461"/>
      <c r="N10" s="461"/>
      <c r="O10" s="461"/>
      <c r="P10" s="461"/>
      <c r="Q10" s="461"/>
      <c r="R10" s="461"/>
      <c r="S10" s="336"/>
      <c r="T10" s="336"/>
      <c r="U10" s="336"/>
      <c r="V10" s="336"/>
      <c r="W10" s="336"/>
      <c r="X10" s="336"/>
      <c r="Y10" s="336"/>
      <c r="Z10" s="336"/>
      <c r="AA10" s="335"/>
      <c r="AB10" s="335"/>
    </row>
    <row r="11" spans="1:28" ht="15.75" x14ac:dyDescent="0.25">
      <c r="A11" s="332"/>
      <c r="B11" s="331" t="s">
        <v>49</v>
      </c>
      <c r="C11" s="332"/>
      <c r="D11" s="332"/>
      <c r="E11" s="332"/>
      <c r="F11" s="331"/>
      <c r="G11" s="333" t="s">
        <v>134</v>
      </c>
      <c r="H11" s="461" t="str">
        <f>'Calibration Data'!L10</f>
        <v>15000 kgf</v>
      </c>
      <c r="I11" s="461"/>
      <c r="J11" s="461"/>
      <c r="K11" s="461"/>
      <c r="L11" s="461"/>
      <c r="M11" s="461"/>
      <c r="N11" s="461"/>
      <c r="O11" s="461"/>
      <c r="P11" s="461"/>
      <c r="Q11" s="461"/>
      <c r="R11" s="461"/>
      <c r="S11" s="336"/>
      <c r="T11" s="336"/>
      <c r="U11" s="336"/>
      <c r="V11" s="336"/>
      <c r="W11" s="336"/>
      <c r="X11" s="336"/>
      <c r="Y11" s="336"/>
      <c r="Z11" s="336"/>
      <c r="AA11" s="335"/>
      <c r="AB11" s="335"/>
    </row>
    <row r="12" spans="1:28" ht="15.75" x14ac:dyDescent="0.25">
      <c r="A12" s="332"/>
      <c r="B12" s="331" t="s">
        <v>135</v>
      </c>
      <c r="C12" s="332"/>
      <c r="D12" s="332"/>
      <c r="E12" s="332"/>
      <c r="F12" s="331"/>
      <c r="G12" s="333" t="s">
        <v>134</v>
      </c>
      <c r="H12" s="461" t="str">
        <f>'Calibration Data'!L11</f>
        <v>0 kgf to 15000 kgf</v>
      </c>
      <c r="I12" s="461"/>
      <c r="J12" s="461"/>
      <c r="K12" s="461"/>
      <c r="L12" s="461"/>
      <c r="M12" s="461"/>
      <c r="N12" s="461"/>
      <c r="O12" s="461"/>
      <c r="P12" s="461"/>
      <c r="Q12" s="461"/>
      <c r="R12" s="461"/>
      <c r="S12" s="336"/>
      <c r="T12" s="336"/>
      <c r="U12" s="336"/>
      <c r="V12" s="336"/>
      <c r="W12" s="336"/>
      <c r="X12" s="336"/>
      <c r="Y12" s="336"/>
      <c r="Z12" s="336"/>
      <c r="AA12" s="335"/>
      <c r="AB12" s="335"/>
    </row>
    <row r="13" spans="1:28" ht="15.75" x14ac:dyDescent="0.25">
      <c r="A13" s="332"/>
      <c r="B13" s="331" t="str">
        <f>'Dash Board'!K21</f>
        <v>Resolution                           :</v>
      </c>
      <c r="C13" s="332"/>
      <c r="D13" s="332"/>
      <c r="E13" s="332"/>
      <c r="F13" s="331"/>
      <c r="G13" s="333" t="s">
        <v>134</v>
      </c>
      <c r="H13" s="461" t="str">
        <f>'Calibration Data'!L12</f>
        <v xml:space="preserve">50 </v>
      </c>
      <c r="I13" s="461"/>
      <c r="J13" s="461"/>
      <c r="K13" s="461"/>
      <c r="L13" s="461"/>
      <c r="M13" s="461"/>
      <c r="N13" s="461"/>
      <c r="O13" s="461"/>
      <c r="P13" s="461"/>
      <c r="Q13" s="461"/>
      <c r="R13" s="461"/>
      <c r="S13" s="336"/>
      <c r="T13" s="336"/>
      <c r="U13" s="336"/>
      <c r="V13" s="336"/>
      <c r="W13" s="336"/>
      <c r="X13" s="336"/>
      <c r="Y13" s="336"/>
      <c r="Z13" s="336"/>
      <c r="AA13" s="335"/>
      <c r="AB13" s="335"/>
    </row>
    <row r="14" spans="1:28" ht="15.75" x14ac:dyDescent="0.25">
      <c r="A14" s="332"/>
      <c r="B14" s="331" t="s">
        <v>54</v>
      </c>
      <c r="C14" s="332"/>
      <c r="D14" s="332"/>
      <c r="E14" s="332"/>
      <c r="F14" s="331"/>
      <c r="G14" s="333" t="s">
        <v>134</v>
      </c>
      <c r="H14" s="461" t="str">
        <f>'Calibration Data'!C11&amp;" (Load Cell); "&amp;IF('Dash Board'!D26&lt;&gt;"",'Dash Board'!D26&amp;" (Indicator)","")</f>
        <v>LS 630 W. PAD (Load Cell); INTERCOMP PT20 (Indicator)</v>
      </c>
      <c r="I14" s="461"/>
      <c r="J14" s="461"/>
      <c r="K14" s="461"/>
      <c r="L14" s="461"/>
      <c r="M14" s="461"/>
      <c r="N14" s="461"/>
      <c r="O14" s="461"/>
      <c r="P14" s="461"/>
      <c r="Q14" s="461"/>
      <c r="R14" s="461"/>
      <c r="S14" s="336"/>
      <c r="T14" s="336"/>
      <c r="U14" s="336"/>
      <c r="V14" s="336"/>
      <c r="W14" s="336"/>
      <c r="X14" s="336"/>
      <c r="Y14" s="336"/>
      <c r="Z14" s="336"/>
      <c r="AA14" s="335"/>
      <c r="AB14" s="335"/>
    </row>
    <row r="15" spans="1:28" ht="15.75" x14ac:dyDescent="0.25">
      <c r="A15" s="332"/>
      <c r="B15" s="331" t="s">
        <v>119</v>
      </c>
      <c r="C15" s="332"/>
      <c r="D15" s="332"/>
      <c r="E15" s="332"/>
      <c r="F15" s="332"/>
      <c r="G15" s="333" t="s">
        <v>134</v>
      </c>
      <c r="H15" s="461" t="str">
        <f>'Calibration Data'!C12&amp;" (Load Cell); "&amp;IF('Dash Board'!D27&lt;&gt;"",'Dash Board'!D27&amp;" (Indicator)","")</f>
        <v>0122YL21002 (Load Cell); 0307YM23003 (Indicator)</v>
      </c>
      <c r="I15" s="461"/>
      <c r="J15" s="461"/>
      <c r="K15" s="461"/>
      <c r="L15" s="461"/>
      <c r="M15" s="461"/>
      <c r="N15" s="461"/>
      <c r="O15" s="461"/>
      <c r="P15" s="461"/>
      <c r="Q15" s="461"/>
      <c r="R15" s="461"/>
      <c r="S15" s="337"/>
      <c r="T15" s="337"/>
      <c r="U15" s="337"/>
      <c r="V15" s="337"/>
      <c r="W15" s="337"/>
      <c r="X15" s="337"/>
      <c r="Y15" s="337"/>
      <c r="Z15" s="337"/>
      <c r="AA15" s="335"/>
      <c r="AB15" s="335"/>
    </row>
    <row r="16" spans="1:28" ht="15.6" hidden="1" customHeight="1" x14ac:dyDescent="0.25">
      <c r="A16" s="332"/>
      <c r="B16" s="331"/>
      <c r="C16" s="332"/>
      <c r="D16" s="332"/>
      <c r="E16" s="332"/>
      <c r="F16" s="332"/>
      <c r="G16" s="333"/>
      <c r="H16" s="338" t="str">
        <f>Software!O21&amp; " (Indicator)"</f>
        <v xml:space="preserve"> (Indicator)</v>
      </c>
      <c r="K16" s="339"/>
      <c r="L16" s="339"/>
      <c r="M16" s="339"/>
      <c r="N16" s="339"/>
      <c r="O16" s="339"/>
      <c r="P16" s="339"/>
      <c r="Q16" s="339"/>
      <c r="R16" s="339"/>
      <c r="S16" s="339"/>
      <c r="T16" s="339"/>
      <c r="U16" s="339"/>
      <c r="V16" s="339"/>
      <c r="W16" s="339"/>
      <c r="X16" s="339"/>
      <c r="Y16" s="331"/>
      <c r="Z16" s="331"/>
      <c r="AA16" s="335"/>
      <c r="AB16" s="335"/>
    </row>
    <row r="17" spans="1:28" ht="16.899999999999999" customHeight="1" x14ac:dyDescent="0.25">
      <c r="A17" s="331" t="s">
        <v>136</v>
      </c>
      <c r="B17" s="332"/>
      <c r="C17" s="332"/>
      <c r="D17" s="332"/>
      <c r="E17" s="331"/>
      <c r="F17" s="331"/>
      <c r="G17" s="333" t="s">
        <v>134</v>
      </c>
      <c r="H17" s="461" t="str">
        <f>UPPER('Calibration Data'!C7)</f>
        <v>SAVVICE CORPORATION</v>
      </c>
      <c r="I17" s="461"/>
      <c r="J17" s="461"/>
      <c r="K17" s="461"/>
      <c r="L17" s="461"/>
      <c r="M17" s="461"/>
      <c r="N17" s="461"/>
      <c r="O17" s="461"/>
      <c r="P17" s="461"/>
      <c r="Q17" s="461"/>
      <c r="R17" s="461"/>
      <c r="S17" s="336"/>
      <c r="T17" s="336"/>
      <c r="U17" s="336"/>
      <c r="V17" s="336"/>
      <c r="W17" s="336"/>
      <c r="X17" s="336"/>
      <c r="Y17" s="336"/>
      <c r="Z17" s="336"/>
      <c r="AA17" s="335"/>
      <c r="AB17" s="335"/>
    </row>
    <row r="18" spans="1:28" ht="16.5" customHeight="1" x14ac:dyDescent="0.25">
      <c r="A18" s="332"/>
      <c r="B18" s="332"/>
      <c r="C18" s="331"/>
      <c r="D18" s="331"/>
      <c r="E18" s="331"/>
      <c r="F18" s="331"/>
      <c r="G18" s="331"/>
      <c r="H18" s="461" t="str">
        <f>'Dash Board'!D8</f>
        <v>3rd Floor BMWC Bldg., Cagayan Valley Road</v>
      </c>
      <c r="I18" s="461"/>
      <c r="J18" s="461"/>
      <c r="K18" s="461"/>
      <c r="L18" s="461"/>
      <c r="M18" s="461"/>
      <c r="N18" s="461"/>
      <c r="O18" s="461"/>
      <c r="P18" s="461"/>
      <c r="Q18" s="461"/>
      <c r="R18" s="461"/>
      <c r="S18" s="340"/>
      <c r="T18" s="340"/>
      <c r="U18" s="340"/>
      <c r="V18" s="340"/>
      <c r="W18" s="340"/>
      <c r="X18" s="340"/>
      <c r="Y18" s="340"/>
      <c r="Z18" s="340"/>
      <c r="AA18" s="341"/>
      <c r="AB18" s="335"/>
    </row>
    <row r="19" spans="1:28" ht="19.5" customHeight="1" x14ac:dyDescent="0.25">
      <c r="A19" s="342"/>
      <c r="B19" s="342"/>
      <c r="C19" s="335"/>
      <c r="D19" s="335"/>
      <c r="E19" s="335"/>
      <c r="F19" s="335"/>
      <c r="G19" s="335"/>
      <c r="H19" s="461" t="str">
        <f>IF('Dash Board'!D9&lt;&gt;0,'Dash Board'!D9,"")</f>
        <v>Sta. Rita, Guiginto, Bulacan</v>
      </c>
      <c r="I19" s="461"/>
      <c r="J19" s="461"/>
      <c r="K19" s="461"/>
      <c r="L19" s="461"/>
      <c r="M19" s="461"/>
      <c r="N19" s="461"/>
      <c r="O19" s="461"/>
      <c r="P19" s="461"/>
      <c r="Q19" s="461"/>
      <c r="R19" s="461"/>
      <c r="S19" s="340"/>
      <c r="T19" s="340"/>
      <c r="U19" s="340"/>
      <c r="V19" s="340"/>
      <c r="W19" s="340"/>
      <c r="X19" s="340"/>
      <c r="Y19" s="340"/>
      <c r="Z19" s="340"/>
      <c r="AA19" s="341"/>
      <c r="AB19" s="335"/>
    </row>
    <row r="20" spans="1:28" ht="15" customHeight="1" x14ac:dyDescent="0.25">
      <c r="B20" s="342"/>
      <c r="C20" s="335"/>
      <c r="D20" s="335"/>
      <c r="E20" s="335"/>
      <c r="F20" s="335"/>
      <c r="G20" s="335"/>
      <c r="H20" s="335"/>
      <c r="I20" s="343"/>
      <c r="J20" s="344"/>
      <c r="K20" s="343"/>
      <c r="L20" s="343"/>
      <c r="M20" s="343"/>
      <c r="N20" s="343"/>
      <c r="O20" s="343"/>
      <c r="P20" s="343"/>
      <c r="Q20" s="343"/>
      <c r="R20" s="343"/>
      <c r="S20" s="343"/>
      <c r="T20" s="343"/>
      <c r="U20" s="343"/>
      <c r="V20" s="343"/>
      <c r="W20" s="345"/>
      <c r="X20" s="341"/>
      <c r="Y20" s="341"/>
      <c r="Z20" s="341"/>
      <c r="AA20" s="341"/>
      <c r="AB20" s="335"/>
    </row>
    <row r="21" spans="1:28" ht="16.5" x14ac:dyDescent="0.25">
      <c r="A21" s="335" t="s">
        <v>137</v>
      </c>
      <c r="B21" s="342"/>
      <c r="D21" s="342"/>
      <c r="E21" s="335"/>
      <c r="F21" s="335"/>
      <c r="G21" s="335"/>
      <c r="H21" s="335"/>
      <c r="I21" s="335"/>
      <c r="J21" s="335"/>
      <c r="K21" s="335"/>
      <c r="L21" s="335"/>
      <c r="M21" s="335"/>
      <c r="N21" s="335"/>
      <c r="O21" s="335"/>
      <c r="P21" s="335"/>
      <c r="Q21" s="335"/>
      <c r="R21" s="335"/>
      <c r="S21" s="335"/>
      <c r="T21" s="335"/>
      <c r="U21" s="335"/>
      <c r="V21" s="335"/>
      <c r="W21" s="346"/>
      <c r="X21" s="346"/>
      <c r="Y21" s="346"/>
      <c r="Z21" s="346"/>
      <c r="AA21" s="346"/>
      <c r="AB21" s="335"/>
    </row>
    <row r="22" spans="1:28" ht="6" customHeight="1" x14ac:dyDescent="0.25">
      <c r="A22" s="335"/>
      <c r="B22" s="342"/>
      <c r="D22" s="342"/>
      <c r="E22" s="335"/>
      <c r="F22" s="335"/>
      <c r="G22" s="335"/>
      <c r="H22" s="335"/>
      <c r="I22" s="335"/>
      <c r="J22" s="335"/>
      <c r="K22" s="335"/>
      <c r="L22" s="335"/>
      <c r="M22" s="335"/>
      <c r="N22" s="335"/>
      <c r="O22" s="335"/>
      <c r="P22" s="335"/>
      <c r="Q22" s="335"/>
      <c r="R22" s="335"/>
      <c r="S22" s="335"/>
      <c r="T22" s="335"/>
      <c r="U22" s="335"/>
      <c r="V22" s="335"/>
      <c r="W22" s="346"/>
      <c r="X22" s="346"/>
      <c r="Y22" s="346"/>
      <c r="Z22" s="346"/>
      <c r="AA22" s="346"/>
      <c r="AB22" s="335"/>
    </row>
    <row r="23" spans="1:28" ht="48" customHeight="1" x14ac:dyDescent="0.25">
      <c r="A23" s="654" t="s">
        <v>204</v>
      </c>
      <c r="B23" s="655"/>
      <c r="C23" s="655"/>
      <c r="D23" s="655"/>
      <c r="E23" s="655"/>
      <c r="F23" s="656"/>
      <c r="G23" s="459" t="s">
        <v>59</v>
      </c>
      <c r="H23" s="459"/>
      <c r="I23" s="655" t="s">
        <v>258</v>
      </c>
      <c r="J23" s="656"/>
      <c r="K23" s="347" t="s">
        <v>260</v>
      </c>
      <c r="L23" s="654" t="s">
        <v>261</v>
      </c>
      <c r="M23" s="655"/>
      <c r="N23" s="656"/>
      <c r="O23" s="657" t="s">
        <v>116</v>
      </c>
      <c r="P23" s="658"/>
      <c r="Q23" s="658"/>
      <c r="R23" s="659"/>
      <c r="S23" s="335"/>
      <c r="T23" s="335"/>
      <c r="U23" s="335"/>
      <c r="V23" s="335"/>
      <c r="W23" s="346"/>
      <c r="X23" s="346"/>
      <c r="Y23" s="346"/>
      <c r="Z23" s="346"/>
      <c r="AA23" s="346"/>
      <c r="AB23" s="335"/>
    </row>
    <row r="24" spans="1:28" ht="16.899999999999999" customHeight="1" x14ac:dyDescent="0.25">
      <c r="A24" s="456" t="str">
        <f>Software!E21</f>
        <v>kgf</v>
      </c>
      <c r="B24" s="456"/>
      <c r="C24" s="456"/>
      <c r="D24" s="456" t="s">
        <v>4</v>
      </c>
      <c r="E24" s="456"/>
      <c r="F24" s="456"/>
      <c r="G24" s="460" t="s">
        <v>4</v>
      </c>
      <c r="H24" s="663"/>
      <c r="I24" s="460" t="s">
        <v>259</v>
      </c>
      <c r="J24" s="663"/>
      <c r="K24" s="348" t="s">
        <v>259</v>
      </c>
      <c r="L24" s="460" t="s">
        <v>259</v>
      </c>
      <c r="M24" s="664"/>
      <c r="N24" s="663"/>
      <c r="O24" s="660"/>
      <c r="P24" s="661"/>
      <c r="Q24" s="661"/>
      <c r="R24" s="662"/>
      <c r="Z24" s="335"/>
      <c r="AA24" s="335"/>
      <c r="AB24" s="335"/>
    </row>
    <row r="25" spans="1:28" ht="16.899999999999999" customHeight="1" x14ac:dyDescent="0.25">
      <c r="A25" s="647">
        <f>'Calibration Data'!T24</f>
        <v>0</v>
      </c>
      <c r="B25" s="647"/>
      <c r="C25" s="647"/>
      <c r="D25" s="457">
        <f>'Calibration Data'!U24</f>
        <v>0</v>
      </c>
      <c r="E25" s="457"/>
      <c r="F25" s="457"/>
      <c r="G25" s="648">
        <f>'Calibration Data'!N24</f>
        <v>0</v>
      </c>
      <c r="H25" s="649"/>
      <c r="I25" s="648">
        <v>0</v>
      </c>
      <c r="J25" s="649"/>
      <c r="K25" s="349">
        <v>0</v>
      </c>
      <c r="L25" s="648">
        <v>0</v>
      </c>
      <c r="M25" s="650"/>
      <c r="N25" s="649"/>
      <c r="O25" s="651" t="str">
        <f>'Calibration Data'!AZ24</f>
        <v>-</v>
      </c>
      <c r="P25" s="652"/>
      <c r="Q25" s="652"/>
      <c r="R25" s="653"/>
      <c r="Z25" s="335"/>
      <c r="AA25" s="335"/>
      <c r="AB25" s="335"/>
    </row>
    <row r="26" spans="1:28" ht="16.899999999999999" customHeight="1" x14ac:dyDescent="0.25">
      <c r="A26" s="647">
        <f>'Calibration Data'!T25</f>
        <v>3000</v>
      </c>
      <c r="B26" s="647"/>
      <c r="C26" s="647"/>
      <c r="D26" s="457">
        <f>'Calibration Data'!U25</f>
        <v>29.41995</v>
      </c>
      <c r="E26" s="457"/>
      <c r="F26" s="457"/>
      <c r="G26" s="648">
        <f>'Calibration Data'!N25</f>
        <v>118.1</v>
      </c>
      <c r="H26" s="649"/>
      <c r="I26" s="648">
        <f>ROUNDUP('Calibration Data'!AO25,2)</f>
        <v>6.0000000000000005E-2</v>
      </c>
      <c r="J26" s="649"/>
      <c r="K26" s="349">
        <f>ROUNDUP('Calibration Data'!AQ25,2)</f>
        <v>-75.09</v>
      </c>
      <c r="L26" s="648">
        <f>ROUNDUP('Calibration Data'!AR25,2)</f>
        <v>0</v>
      </c>
      <c r="M26" s="650"/>
      <c r="N26" s="649"/>
      <c r="O26" s="651">
        <f>'Calibration Data'!AZ25</f>
        <v>0.5</v>
      </c>
      <c r="P26" s="652"/>
      <c r="Q26" s="652"/>
      <c r="R26" s="653"/>
      <c r="Z26" s="335"/>
      <c r="AA26" s="335"/>
      <c r="AB26" s="335"/>
    </row>
    <row r="27" spans="1:28" ht="16.899999999999999" customHeight="1" x14ac:dyDescent="0.25">
      <c r="A27" s="647">
        <f>'Calibration Data'!T26</f>
        <v>6000</v>
      </c>
      <c r="B27" s="647"/>
      <c r="C27" s="647"/>
      <c r="D27" s="457">
        <f>'Calibration Data'!U26</f>
        <v>58.8399</v>
      </c>
      <c r="E27" s="457"/>
      <c r="F27" s="457"/>
      <c r="G27" s="648">
        <f>'Calibration Data'!N26</f>
        <v>230.96700000000001</v>
      </c>
      <c r="H27" s="649"/>
      <c r="I27" s="648">
        <f>ROUNDUP('Calibration Data'!AO26,2)</f>
        <v>6.0000000000000005E-2</v>
      </c>
      <c r="J27" s="649"/>
      <c r="K27" s="349">
        <f>ROUNDUP('Calibration Data'!AQ26,2)</f>
        <v>-74.53</v>
      </c>
      <c r="L27" s="648">
        <f>ROUNDUP('Calibration Data'!AR26,2)</f>
        <v>0</v>
      </c>
      <c r="M27" s="650"/>
      <c r="N27" s="649"/>
      <c r="O27" s="651">
        <f>'Calibration Data'!AZ26</f>
        <v>0.5</v>
      </c>
      <c r="P27" s="652"/>
      <c r="Q27" s="652"/>
      <c r="R27" s="653"/>
      <c r="Z27" s="335"/>
      <c r="AA27" s="335"/>
      <c r="AB27" s="335"/>
    </row>
    <row r="28" spans="1:28" ht="16.899999999999999" customHeight="1" x14ac:dyDescent="0.25">
      <c r="A28" s="647">
        <f>'Calibration Data'!T27</f>
        <v>9000</v>
      </c>
      <c r="B28" s="647"/>
      <c r="C28" s="647"/>
      <c r="D28" s="457">
        <f>'Calibration Data'!U27</f>
        <v>88.25985</v>
      </c>
      <c r="E28" s="457"/>
      <c r="F28" s="457"/>
      <c r="G28" s="648">
        <f>'Calibration Data'!N27</f>
        <v>335.02300000000002</v>
      </c>
      <c r="H28" s="649"/>
      <c r="I28" s="648">
        <f>ROUNDUP('Calibration Data'!AO27,2)</f>
        <v>6.0000000000000005E-2</v>
      </c>
      <c r="J28" s="649"/>
      <c r="K28" s="349">
        <f>ROUNDUP('Calibration Data'!AQ27,2)</f>
        <v>-73.660000000000011</v>
      </c>
      <c r="L28" s="648">
        <f>ROUNDUP('Calibration Data'!AR27,2)</f>
        <v>0</v>
      </c>
      <c r="M28" s="650"/>
      <c r="N28" s="649"/>
      <c r="O28" s="651">
        <f>'Calibration Data'!AZ27</f>
        <v>0.5</v>
      </c>
      <c r="P28" s="652"/>
      <c r="Q28" s="652"/>
      <c r="R28" s="653"/>
      <c r="Z28" s="335"/>
      <c r="AA28" s="335"/>
      <c r="AB28" s="335"/>
    </row>
    <row r="29" spans="1:28" ht="16.899999999999999" customHeight="1" x14ac:dyDescent="0.25">
      <c r="A29" s="647">
        <f>'Calibration Data'!T28</f>
        <v>12000</v>
      </c>
      <c r="B29" s="647"/>
      <c r="C29" s="647"/>
      <c r="D29" s="457">
        <f>'Calibration Data'!U28</f>
        <v>117.6798</v>
      </c>
      <c r="E29" s="457"/>
      <c r="F29" s="457"/>
      <c r="G29" s="648">
        <f>'Calibration Data'!N28</f>
        <v>423.77800000000002</v>
      </c>
      <c r="H29" s="649"/>
      <c r="I29" s="648">
        <f>ROUNDUP('Calibration Data'!AO28,2)</f>
        <v>6.0000000000000005E-2</v>
      </c>
      <c r="J29" s="649"/>
      <c r="K29" s="349">
        <f>ROUNDUP('Calibration Data'!AQ28,2)</f>
        <v>-72.240000000000009</v>
      </c>
      <c r="L29" s="648">
        <f>ROUNDUP('Calibration Data'!AR28,2)</f>
        <v>0</v>
      </c>
      <c r="M29" s="650"/>
      <c r="N29" s="649"/>
      <c r="O29" s="651">
        <f>'Calibration Data'!AZ28</f>
        <v>0.5</v>
      </c>
      <c r="P29" s="652"/>
      <c r="Q29" s="652"/>
      <c r="R29" s="653"/>
      <c r="Z29" s="335"/>
      <c r="AA29" s="335"/>
      <c r="AB29" s="335"/>
    </row>
    <row r="30" spans="1:28" ht="16.899999999999999" customHeight="1" x14ac:dyDescent="0.25">
      <c r="A30" s="647">
        <f>'Calibration Data'!T29</f>
        <v>15000</v>
      </c>
      <c r="B30" s="647"/>
      <c r="C30" s="647"/>
      <c r="D30" s="457">
        <f>'Calibration Data'!U29</f>
        <v>147.09975</v>
      </c>
      <c r="E30" s="457"/>
      <c r="F30" s="457"/>
      <c r="G30" s="648">
        <f>'Calibration Data'!N29</f>
        <v>492.512</v>
      </c>
      <c r="H30" s="649"/>
      <c r="I30" s="648">
        <f>ROUNDUP('Calibration Data'!AO29,2)</f>
        <v>6.0000000000000005E-2</v>
      </c>
      <c r="J30" s="649"/>
      <c r="K30" s="349">
        <f>ROUNDUP('Calibration Data'!AQ29,2)</f>
        <v>-70.14</v>
      </c>
      <c r="L30" s="648">
        <f>ROUNDUP('Calibration Data'!AR29,2)</f>
        <v>0</v>
      </c>
      <c r="M30" s="650"/>
      <c r="N30" s="649"/>
      <c r="O30" s="651">
        <f>'Calibration Data'!AZ29</f>
        <v>0.5</v>
      </c>
      <c r="P30" s="652"/>
      <c r="Q30" s="652"/>
      <c r="R30" s="653"/>
      <c r="Z30" s="335"/>
      <c r="AA30" s="335"/>
      <c r="AB30" s="335"/>
    </row>
    <row r="31" spans="1:28" ht="16.899999999999999" customHeight="1" x14ac:dyDescent="0.25">
      <c r="A31" s="647">
        <f>'Calibration Data'!T30</f>
        <v>0</v>
      </c>
      <c r="B31" s="647"/>
      <c r="C31" s="647"/>
      <c r="D31" s="457">
        <f>'Calibration Data'!U30</f>
        <v>0</v>
      </c>
      <c r="E31" s="457"/>
      <c r="F31" s="457"/>
      <c r="G31" s="648" t="str">
        <f>'Calibration Data'!N30</f>
        <v>- -</v>
      </c>
      <c r="H31" s="649"/>
      <c r="I31" s="648">
        <v>0</v>
      </c>
      <c r="J31" s="649"/>
      <c r="K31" s="349">
        <v>0</v>
      </c>
      <c r="L31" s="648">
        <v>0</v>
      </c>
      <c r="M31" s="650"/>
      <c r="N31" s="649"/>
      <c r="O31" s="651" t="e">
        <f>'Calibration Data'!AZ30</f>
        <v>#VALUE!</v>
      </c>
      <c r="P31" s="652"/>
      <c r="Q31" s="652"/>
      <c r="R31" s="653"/>
      <c r="Z31" s="335"/>
      <c r="AA31" s="335"/>
      <c r="AB31" s="335"/>
    </row>
    <row r="32" spans="1:28" ht="16.899999999999999" customHeight="1" x14ac:dyDescent="0.25">
      <c r="A32" s="647">
        <f>'Calibration Data'!T31</f>
        <v>0</v>
      </c>
      <c r="B32" s="647"/>
      <c r="C32" s="647"/>
      <c r="D32" s="457">
        <f>'Calibration Data'!U31</f>
        <v>0</v>
      </c>
      <c r="E32" s="457"/>
      <c r="F32" s="457"/>
      <c r="G32" s="648" t="str">
        <f>'Calibration Data'!N31</f>
        <v>- -</v>
      </c>
      <c r="H32" s="649"/>
      <c r="I32" s="648" t="e">
        <f>ROUNDUP('Calibration Data'!AO31,2)</f>
        <v>#VALUE!</v>
      </c>
      <c r="J32" s="649"/>
      <c r="K32" s="349" t="e">
        <f>ROUNDUP('Calibration Data'!AQ31,2)</f>
        <v>#VALUE!</v>
      </c>
      <c r="L32" s="648" t="e">
        <f>ROUNDUP('Calibration Data'!AR31,2)</f>
        <v>#VALUE!</v>
      </c>
      <c r="M32" s="650"/>
      <c r="N32" s="649"/>
      <c r="O32" s="651" t="e">
        <f>'Calibration Data'!AZ31</f>
        <v>#VALUE!</v>
      </c>
      <c r="P32" s="652"/>
      <c r="Q32" s="652"/>
      <c r="R32" s="653"/>
      <c r="Z32" s="335"/>
      <c r="AA32" s="335"/>
      <c r="AB32" s="335"/>
    </row>
    <row r="33" spans="1:38" ht="16.899999999999999" customHeight="1" x14ac:dyDescent="0.25">
      <c r="A33" s="647">
        <f>'Calibration Data'!T32</f>
        <v>0</v>
      </c>
      <c r="B33" s="647"/>
      <c r="C33" s="647"/>
      <c r="D33" s="457">
        <f>'Calibration Data'!U32</f>
        <v>0</v>
      </c>
      <c r="E33" s="457"/>
      <c r="F33" s="457"/>
      <c r="G33" s="648" t="str">
        <f>'Calibration Data'!N32</f>
        <v>- -</v>
      </c>
      <c r="H33" s="649"/>
      <c r="I33" s="648" t="e">
        <f>ROUNDUP('Calibration Data'!AO32,2)</f>
        <v>#VALUE!</v>
      </c>
      <c r="J33" s="649"/>
      <c r="K33" s="349" t="e">
        <f>ROUNDUP('Calibration Data'!AQ32,2)</f>
        <v>#VALUE!</v>
      </c>
      <c r="L33" s="648" t="e">
        <f>ROUNDUP('Calibration Data'!AR32,2)</f>
        <v>#VALUE!</v>
      </c>
      <c r="M33" s="650"/>
      <c r="N33" s="649"/>
      <c r="O33" s="651" t="e">
        <f>'Calibration Data'!AZ32</f>
        <v>#VALUE!</v>
      </c>
      <c r="P33" s="652"/>
      <c r="Q33" s="652"/>
      <c r="R33" s="653"/>
      <c r="Z33" s="335"/>
      <c r="AA33" s="335"/>
      <c r="AB33" s="335"/>
    </row>
    <row r="34" spans="1:38" ht="16.899999999999999" customHeight="1" x14ac:dyDescent="0.25">
      <c r="A34" s="647">
        <f>'Calibration Data'!T33</f>
        <v>0</v>
      </c>
      <c r="B34" s="647"/>
      <c r="C34" s="647"/>
      <c r="D34" s="457">
        <f>'Calibration Data'!U33</f>
        <v>0</v>
      </c>
      <c r="E34" s="457"/>
      <c r="F34" s="457"/>
      <c r="G34" s="648" t="str">
        <f>'Calibration Data'!N33</f>
        <v>- -</v>
      </c>
      <c r="H34" s="649"/>
      <c r="I34" s="648" t="e">
        <f>ROUNDUP('Calibration Data'!AO33,2)</f>
        <v>#VALUE!</v>
      </c>
      <c r="J34" s="649"/>
      <c r="K34" s="349" t="e">
        <f>ROUNDUP('Calibration Data'!AQ33,2)</f>
        <v>#VALUE!</v>
      </c>
      <c r="L34" s="648" t="e">
        <f>ROUNDUP('Calibration Data'!AR33,2)</f>
        <v>#VALUE!</v>
      </c>
      <c r="M34" s="650"/>
      <c r="N34" s="649"/>
      <c r="O34" s="651" t="e">
        <f>'Calibration Data'!AZ33</f>
        <v>#VALUE!</v>
      </c>
      <c r="P34" s="652"/>
      <c r="Q34" s="652"/>
      <c r="R34" s="653"/>
      <c r="Z34" s="335"/>
      <c r="AA34" s="335"/>
      <c r="AB34" s="335"/>
    </row>
    <row r="35" spans="1:38" ht="16.899999999999999" customHeight="1" x14ac:dyDescent="0.25">
      <c r="A35" s="647">
        <f>'Calibration Data'!T34</f>
        <v>0</v>
      </c>
      <c r="B35" s="647"/>
      <c r="C35" s="647"/>
      <c r="D35" s="457">
        <f>'Calibration Data'!U34</f>
        <v>0</v>
      </c>
      <c r="E35" s="457"/>
      <c r="F35" s="457"/>
      <c r="G35" s="648" t="str">
        <f>'Calibration Data'!N34</f>
        <v>- -</v>
      </c>
      <c r="H35" s="649"/>
      <c r="I35" s="648" t="e">
        <f>ROUNDUP('Calibration Data'!AO34,2)</f>
        <v>#VALUE!</v>
      </c>
      <c r="J35" s="649"/>
      <c r="K35" s="349" t="e">
        <f>ROUNDUP('Calibration Data'!AQ34,2)</f>
        <v>#VALUE!</v>
      </c>
      <c r="L35" s="648" t="e">
        <f>ROUNDUP('Calibration Data'!AR34,2)</f>
        <v>#VALUE!</v>
      </c>
      <c r="M35" s="650"/>
      <c r="N35" s="649"/>
      <c r="O35" s="651" t="e">
        <f>'Calibration Data'!AZ34</f>
        <v>#VALUE!</v>
      </c>
      <c r="P35" s="652"/>
      <c r="Q35" s="652"/>
      <c r="R35" s="653"/>
      <c r="Z35" s="335"/>
      <c r="AA35" s="335"/>
      <c r="AB35" s="335"/>
    </row>
    <row r="36" spans="1:38" ht="16.899999999999999" customHeight="1" x14ac:dyDescent="0.25">
      <c r="A36" s="647">
        <f>'Calibration Data'!T35</f>
        <v>0</v>
      </c>
      <c r="B36" s="647"/>
      <c r="C36" s="647"/>
      <c r="D36" s="457">
        <f>'Calibration Data'!U35</f>
        <v>0</v>
      </c>
      <c r="E36" s="457"/>
      <c r="F36" s="457"/>
      <c r="G36" s="648">
        <f>'Calibration Data'!N35</f>
        <v>0</v>
      </c>
      <c r="H36" s="649"/>
      <c r="I36" s="648">
        <f>ROUNDUP('Calibration Data'!AO35,2)</f>
        <v>0</v>
      </c>
      <c r="J36" s="649"/>
      <c r="K36" s="349">
        <f>ROUNDUP('Calibration Data'!AQ35,2)</f>
        <v>0</v>
      </c>
      <c r="L36" s="648">
        <f>ROUNDUP('Calibration Data'!AR35,2)</f>
        <v>0</v>
      </c>
      <c r="M36" s="650"/>
      <c r="N36" s="649"/>
      <c r="O36" s="651">
        <f>'Calibration Data'!AZ35</f>
        <v>0</v>
      </c>
      <c r="P36" s="652"/>
      <c r="Q36" s="652"/>
      <c r="R36" s="653"/>
      <c r="Z36" s="335"/>
      <c r="AA36" s="335"/>
      <c r="AB36" s="335"/>
    </row>
    <row r="37" spans="1:38" ht="15" customHeight="1" x14ac:dyDescent="0.25">
      <c r="A37" s="335"/>
      <c r="B37" s="350"/>
      <c r="C37" s="350"/>
      <c r="D37" s="350"/>
      <c r="E37" s="350"/>
      <c r="F37" s="350"/>
      <c r="G37" s="350"/>
      <c r="H37" s="350"/>
      <c r="I37" s="351"/>
      <c r="J37" s="351"/>
      <c r="K37" s="352"/>
      <c r="L37" s="351"/>
      <c r="M37" s="351"/>
      <c r="N37" s="351"/>
      <c r="O37" s="353"/>
      <c r="P37" s="353"/>
      <c r="Q37" s="353"/>
      <c r="R37" s="353"/>
      <c r="Z37" s="335"/>
      <c r="AA37" s="335"/>
      <c r="AB37" s="335"/>
    </row>
    <row r="38" spans="1:38" ht="15.75" x14ac:dyDescent="0.25">
      <c r="A38" s="335" t="s">
        <v>138</v>
      </c>
      <c r="B38" s="342"/>
      <c r="C38" s="335"/>
      <c r="D38" s="342"/>
      <c r="E38" s="335"/>
      <c r="F38" s="335"/>
      <c r="G38" s="335"/>
      <c r="H38" s="335"/>
      <c r="I38" s="335"/>
      <c r="J38" s="335"/>
      <c r="K38" s="335"/>
      <c r="L38" s="335"/>
      <c r="M38" s="335"/>
      <c r="N38" s="335"/>
      <c r="O38" s="335"/>
      <c r="P38" s="335"/>
      <c r="Q38" s="335"/>
      <c r="R38" s="335"/>
      <c r="Z38" s="335"/>
      <c r="AA38" s="335"/>
      <c r="AB38" s="335"/>
    </row>
    <row r="39" spans="1:38" ht="6" customHeight="1" x14ac:dyDescent="0.25">
      <c r="A39" s="335"/>
      <c r="B39" s="342"/>
      <c r="C39" s="335"/>
      <c r="D39" s="342"/>
      <c r="E39" s="335"/>
      <c r="F39" s="335"/>
      <c r="G39" s="335"/>
      <c r="H39" s="335"/>
      <c r="I39" s="335"/>
      <c r="J39" s="335"/>
      <c r="K39" s="335"/>
      <c r="L39" s="335"/>
      <c r="M39" s="335"/>
      <c r="N39" s="335"/>
      <c r="O39" s="335"/>
      <c r="P39" s="335"/>
      <c r="Q39" s="335"/>
      <c r="R39" s="335"/>
      <c r="Z39" s="335"/>
      <c r="AA39" s="335"/>
      <c r="AB39" s="335"/>
    </row>
    <row r="40" spans="1:38" ht="77.45" customHeight="1" x14ac:dyDescent="0.25">
      <c r="A40" s="450" t="s">
        <v>263</v>
      </c>
      <c r="B40" s="450"/>
      <c r="C40" s="450"/>
      <c r="D40" s="450"/>
      <c r="E40" s="450"/>
      <c r="F40" s="450"/>
      <c r="G40" s="450"/>
      <c r="H40" s="450"/>
      <c r="I40" s="450"/>
      <c r="J40" s="450"/>
      <c r="K40" s="450"/>
      <c r="L40" s="450"/>
      <c r="M40" s="450"/>
      <c r="N40" s="450"/>
      <c r="O40" s="450"/>
      <c r="P40" s="450"/>
      <c r="Q40" s="450"/>
      <c r="R40" s="450"/>
      <c r="Z40" s="354"/>
      <c r="AA40" s="346"/>
      <c r="AB40" s="335"/>
    </row>
    <row r="41" spans="1:38" ht="3" customHeight="1" x14ac:dyDescent="0.25">
      <c r="A41" s="453"/>
      <c r="B41" s="453"/>
      <c r="C41" s="453"/>
      <c r="D41" s="453"/>
      <c r="E41" s="453"/>
      <c r="F41" s="453"/>
      <c r="G41" s="453"/>
      <c r="H41" s="453"/>
      <c r="I41" s="453"/>
      <c r="J41" s="453"/>
      <c r="K41" s="453"/>
      <c r="L41" s="453"/>
      <c r="M41" s="453"/>
      <c r="N41" s="453"/>
      <c r="O41" s="453"/>
      <c r="P41" s="453"/>
      <c r="Q41" s="453"/>
      <c r="R41" s="453"/>
      <c r="S41" s="453"/>
      <c r="T41" s="453"/>
      <c r="U41" s="453"/>
      <c r="V41" s="453"/>
      <c r="W41" s="453"/>
      <c r="X41" s="453"/>
      <c r="Y41" s="453"/>
      <c r="Z41" s="453"/>
    </row>
    <row r="42" spans="1:38" ht="10.15" customHeight="1" x14ac:dyDescent="0.25">
      <c r="A42" s="355"/>
      <c r="B42" s="355"/>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row>
    <row r="43" spans="1:38" ht="15" customHeight="1" x14ac:dyDescent="0.25">
      <c r="A43" s="453" t="s">
        <v>139</v>
      </c>
      <c r="B43" s="453"/>
      <c r="C43" s="453"/>
      <c r="D43" s="453"/>
      <c r="E43" s="453"/>
      <c r="F43" s="453"/>
      <c r="G43" s="453"/>
      <c r="H43" s="453"/>
      <c r="I43" s="453"/>
      <c r="J43" s="453"/>
      <c r="K43" s="453"/>
      <c r="L43" s="453"/>
      <c r="M43" s="453"/>
      <c r="N43" s="453"/>
      <c r="O43" s="453"/>
      <c r="P43" s="453"/>
      <c r="Q43" s="453"/>
      <c r="R43" s="453"/>
      <c r="S43" s="355"/>
      <c r="T43" s="355"/>
      <c r="U43" s="355"/>
      <c r="V43" s="355"/>
      <c r="W43" s="355"/>
      <c r="X43" s="355"/>
      <c r="Y43" s="355"/>
      <c r="Z43" s="355"/>
    </row>
    <row r="44" spans="1:38" ht="15" customHeight="1" x14ac:dyDescent="0.25">
      <c r="A44" s="355"/>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row>
    <row r="45" spans="1:38" ht="15.75" x14ac:dyDescent="0.25">
      <c r="A45" s="335" t="s">
        <v>140</v>
      </c>
      <c r="B45" s="342"/>
      <c r="C45" s="335"/>
      <c r="D45" s="335"/>
      <c r="E45" s="335"/>
      <c r="F45" s="335"/>
      <c r="G45" s="335"/>
      <c r="H45" s="335"/>
      <c r="I45" s="335"/>
      <c r="J45" s="335"/>
      <c r="K45" s="335"/>
      <c r="L45" s="335"/>
      <c r="M45" s="335"/>
      <c r="N45" s="335"/>
      <c r="O45" s="335"/>
      <c r="P45" s="335"/>
      <c r="Q45" s="335"/>
      <c r="R45" s="335"/>
      <c r="S45" s="335"/>
      <c r="T45" s="335"/>
      <c r="U45" s="335"/>
      <c r="V45" s="335"/>
      <c r="W45" s="335"/>
      <c r="X45" s="335"/>
      <c r="Y45" s="335"/>
      <c r="Z45" s="335"/>
      <c r="AA45" s="335"/>
      <c r="AB45" s="335"/>
    </row>
    <row r="46" spans="1:38" ht="6"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s="335"/>
      <c r="V46" s="335"/>
      <c r="W46" s="335"/>
      <c r="X46" s="335"/>
      <c r="Y46" s="335"/>
      <c r="Z46" s="335"/>
      <c r="AA46" s="335"/>
      <c r="AB46" s="335"/>
    </row>
    <row r="47" spans="1:38" ht="16.899999999999999" customHeight="1" x14ac:dyDescent="0.25">
      <c r="A47" s="454" t="s">
        <v>53</v>
      </c>
      <c r="B47" s="454"/>
      <c r="C47" s="454"/>
      <c r="D47" s="454"/>
      <c r="E47" s="454"/>
      <c r="F47" s="454"/>
      <c r="G47" s="454" t="s">
        <v>141</v>
      </c>
      <c r="H47" s="454"/>
      <c r="I47" s="454"/>
      <c r="J47" s="449" t="s">
        <v>142</v>
      </c>
      <c r="K47" s="449"/>
      <c r="L47" s="449"/>
      <c r="M47" s="454" t="s">
        <v>55</v>
      </c>
      <c r="N47" s="454"/>
      <c r="O47" s="454"/>
      <c r="P47" s="454"/>
      <c r="Q47" s="454"/>
      <c r="R47" s="454"/>
      <c r="S47" s="356"/>
      <c r="AA47" s="346"/>
      <c r="AB47" s="335"/>
    </row>
    <row r="48" spans="1:38" ht="43.9" customHeight="1" x14ac:dyDescent="0.25">
      <c r="A48" s="449" t="str">
        <f>"Load Cell                     SN "&amp;Software!E38</f>
        <v>Load Cell                     SN F93007</v>
      </c>
      <c r="B48" s="449"/>
      <c r="C48" s="449"/>
      <c r="D48" s="449"/>
      <c r="E48" s="449"/>
      <c r="F48" s="449"/>
      <c r="G48" s="449" t="str">
        <f>IFERROR(LEFT(Software!E36,8),Software!E36)</f>
        <v>HBM/C3H3</v>
      </c>
      <c r="H48" s="449"/>
      <c r="I48" s="449"/>
      <c r="J48" s="449" t="str">
        <f>Software!E39</f>
        <v>1800-00040-004</v>
      </c>
      <c r="K48" s="449"/>
      <c r="L48" s="449"/>
      <c r="M48" s="449" t="s">
        <v>143</v>
      </c>
      <c r="N48" s="449"/>
      <c r="O48" s="449"/>
      <c r="P48" s="449"/>
      <c r="Q48" s="449"/>
      <c r="R48" s="449"/>
      <c r="S48" s="357"/>
      <c r="T48" s="358"/>
      <c r="AA48" s="359"/>
      <c r="AB48" s="335"/>
      <c r="AL48" s="360"/>
    </row>
    <row r="49" spans="1:38" ht="15" customHeight="1" x14ac:dyDescent="0.25">
      <c r="A49" s="361"/>
      <c r="B49" s="361"/>
      <c r="C49" s="361"/>
      <c r="D49" s="361"/>
      <c r="E49" s="361"/>
      <c r="F49" s="361"/>
      <c r="G49" s="361"/>
      <c r="H49" s="361"/>
      <c r="I49" s="361"/>
      <c r="J49" s="361"/>
      <c r="K49" s="361"/>
      <c r="L49" s="361"/>
      <c r="M49" s="361"/>
      <c r="N49" s="361"/>
      <c r="O49" s="361"/>
      <c r="P49" s="361"/>
      <c r="Q49" s="361"/>
      <c r="R49" s="361"/>
      <c r="S49" s="358"/>
      <c r="T49" s="358"/>
      <c r="AA49" s="359"/>
      <c r="AB49" s="335"/>
      <c r="AL49" s="360"/>
    </row>
    <row r="50" spans="1:38" ht="15" customHeight="1" x14ac:dyDescent="0.25">
      <c r="A50" s="361"/>
      <c r="B50" s="361"/>
      <c r="C50" s="361"/>
      <c r="D50" s="361"/>
      <c r="E50" s="361"/>
      <c r="F50" s="361"/>
      <c r="G50" s="361"/>
      <c r="H50" s="361"/>
      <c r="I50" s="361"/>
      <c r="J50" s="361"/>
      <c r="K50" s="361"/>
      <c r="L50" s="361"/>
      <c r="M50" s="361"/>
      <c r="N50" s="361"/>
      <c r="O50" s="361"/>
      <c r="P50" s="361"/>
      <c r="Q50" s="361"/>
      <c r="R50" s="361"/>
      <c r="S50" s="358"/>
      <c r="T50" s="358"/>
      <c r="AA50" s="359"/>
      <c r="AB50" s="335"/>
      <c r="AL50" s="360"/>
    </row>
    <row r="51" spans="1:38" ht="15.75" x14ac:dyDescent="0.25">
      <c r="A51" s="335" t="s">
        <v>144</v>
      </c>
      <c r="B51" s="342"/>
      <c r="C51" s="335"/>
      <c r="D51" s="335"/>
      <c r="E51" s="335"/>
      <c r="F51" s="335"/>
      <c r="G51" s="335"/>
      <c r="H51" s="335"/>
      <c r="I51" s="335"/>
      <c r="J51" s="335"/>
      <c r="K51" s="335"/>
      <c r="L51" s="335"/>
      <c r="M51" s="335"/>
      <c r="N51" s="335"/>
      <c r="O51" s="335"/>
      <c r="P51" s="335"/>
      <c r="Q51" s="335"/>
      <c r="R51" s="335"/>
      <c r="S51" s="335"/>
      <c r="T51" s="335"/>
      <c r="U51" s="335"/>
      <c r="V51" s="335"/>
      <c r="W51" s="335"/>
      <c r="X51" s="335"/>
      <c r="Y51" s="335"/>
      <c r="Z51" s="335"/>
      <c r="AA51" s="335"/>
      <c r="AB51" s="335"/>
    </row>
    <row r="52" spans="1:38" ht="6" customHeight="1" x14ac:dyDescent="0.25">
      <c r="A52" s="342"/>
      <c r="B52" s="342"/>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35"/>
      <c r="AB52" s="335"/>
    </row>
    <row r="53" spans="1:38" ht="30.75" customHeight="1" x14ac:dyDescent="0.25">
      <c r="A53" s="445" t="s">
        <v>162</v>
      </c>
      <c r="B53" s="445"/>
      <c r="C53" s="445"/>
      <c r="D53" s="445"/>
      <c r="E53" s="445"/>
      <c r="F53" s="445"/>
      <c r="G53" s="445"/>
      <c r="H53" s="445"/>
      <c r="I53" s="445"/>
      <c r="J53" s="445"/>
      <c r="K53" s="445"/>
      <c r="L53" s="445"/>
      <c r="M53" s="445"/>
      <c r="N53" s="445"/>
      <c r="O53" s="445"/>
      <c r="P53" s="445"/>
      <c r="Q53" s="445"/>
      <c r="R53" s="445"/>
      <c r="S53" s="345"/>
      <c r="T53" s="345"/>
      <c r="U53" s="345"/>
      <c r="V53" s="345"/>
      <c r="W53" s="345"/>
      <c r="X53" s="345"/>
      <c r="Y53" s="345"/>
      <c r="Z53" s="345"/>
      <c r="AA53" s="335"/>
      <c r="AB53" s="335"/>
    </row>
    <row r="54" spans="1:38" ht="7.5" customHeight="1" x14ac:dyDescent="0.25">
      <c r="A54" s="362"/>
      <c r="B54" s="362"/>
      <c r="C54" s="362"/>
      <c r="D54" s="362"/>
      <c r="E54" s="362"/>
      <c r="F54" s="362"/>
      <c r="G54" s="362"/>
      <c r="H54" s="362"/>
      <c r="I54" s="362"/>
      <c r="J54" s="362"/>
      <c r="K54" s="362"/>
      <c r="L54" s="362"/>
      <c r="M54" s="362"/>
      <c r="N54" s="362"/>
      <c r="O54" s="362"/>
      <c r="P54" s="362"/>
      <c r="Q54" s="362"/>
      <c r="R54" s="362"/>
      <c r="S54" s="362"/>
      <c r="T54" s="362"/>
      <c r="U54" s="362"/>
      <c r="V54" s="362"/>
      <c r="W54" s="362"/>
      <c r="X54" s="362"/>
      <c r="Y54" s="362"/>
      <c r="Z54" s="362"/>
      <c r="AA54" s="335"/>
      <c r="AB54" s="335"/>
    </row>
    <row r="55" spans="1:38" ht="31.15" customHeight="1" x14ac:dyDescent="0.25">
      <c r="A55" s="445" t="s">
        <v>287</v>
      </c>
      <c r="B55" s="445"/>
      <c r="C55" s="445"/>
      <c r="D55" s="445"/>
      <c r="E55" s="445"/>
      <c r="F55" s="445"/>
      <c r="G55" s="445"/>
      <c r="H55" s="445"/>
      <c r="I55" s="445"/>
      <c r="J55" s="445"/>
      <c r="K55" s="445"/>
      <c r="L55" s="445"/>
      <c r="M55" s="445"/>
      <c r="N55" s="445"/>
      <c r="O55" s="445"/>
      <c r="P55" s="445"/>
      <c r="Q55" s="445"/>
      <c r="R55" s="445"/>
      <c r="S55" s="354"/>
      <c r="T55" s="354"/>
      <c r="U55" s="354"/>
      <c r="V55" s="354"/>
      <c r="W55" s="354"/>
      <c r="X55" s="354"/>
      <c r="Y55" s="354"/>
      <c r="Z55" s="354"/>
      <c r="AA55" s="358"/>
      <c r="AB55" s="335"/>
    </row>
    <row r="56" spans="1:38" ht="12" customHeight="1" x14ac:dyDescent="0.25">
      <c r="A56" s="363"/>
      <c r="B56" s="363"/>
      <c r="C56" s="363"/>
      <c r="D56" s="363"/>
      <c r="E56" s="363"/>
      <c r="F56" s="363"/>
      <c r="G56" s="363"/>
      <c r="H56" s="363"/>
      <c r="I56" s="363"/>
      <c r="J56" s="363"/>
      <c r="K56" s="363"/>
      <c r="L56" s="363"/>
      <c r="M56" s="363"/>
      <c r="N56" s="363"/>
      <c r="O56" s="363"/>
      <c r="P56" s="363"/>
      <c r="Q56" s="363"/>
      <c r="R56" s="363"/>
      <c r="S56" s="354"/>
      <c r="T56" s="354"/>
      <c r="U56" s="354"/>
      <c r="V56" s="354"/>
      <c r="W56" s="354"/>
      <c r="X56" s="354"/>
      <c r="Y56" s="354"/>
      <c r="Z56" s="354"/>
      <c r="AA56" s="358"/>
      <c r="AB56" s="335"/>
    </row>
    <row r="57" spans="1:38" ht="15" customHeight="1" x14ac:dyDescent="0.25">
      <c r="A57" s="36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58"/>
      <c r="AB57" s="335"/>
    </row>
    <row r="58" spans="1:38" ht="15.75" x14ac:dyDescent="0.25">
      <c r="A58" s="335" t="s">
        <v>145</v>
      </c>
      <c r="B58" s="342"/>
      <c r="C58" s="335"/>
      <c r="D58" s="342"/>
      <c r="E58" s="335"/>
      <c r="F58" s="335"/>
      <c r="G58" s="335"/>
      <c r="H58" s="335"/>
      <c r="I58" s="335"/>
      <c r="J58" s="335"/>
      <c r="K58" s="335"/>
      <c r="L58" s="335"/>
      <c r="M58" s="335"/>
      <c r="N58" s="335"/>
      <c r="O58" s="335"/>
      <c r="P58" s="335"/>
      <c r="Q58" s="335"/>
      <c r="R58" s="335"/>
      <c r="S58" s="335"/>
      <c r="T58" s="335"/>
      <c r="U58" s="335"/>
      <c r="V58" s="335"/>
      <c r="W58" s="335"/>
      <c r="X58" s="335"/>
      <c r="Y58" s="335"/>
      <c r="Z58" s="335"/>
      <c r="AA58" s="335"/>
      <c r="AB58" s="335"/>
    </row>
    <row r="59" spans="1:38" ht="6.75" customHeight="1" x14ac:dyDescent="0.25">
      <c r="A59" s="342"/>
      <c r="B59" s="342"/>
      <c r="C59" s="335"/>
      <c r="D59" s="335"/>
      <c r="E59" s="335"/>
      <c r="F59" s="335"/>
      <c r="G59" s="335"/>
      <c r="H59" s="335"/>
      <c r="I59" s="335"/>
      <c r="J59" s="335"/>
      <c r="K59" s="335"/>
      <c r="L59" s="335"/>
      <c r="M59" s="335"/>
      <c r="N59" s="335"/>
      <c r="O59" s="335"/>
      <c r="P59" s="335"/>
      <c r="Q59" s="335"/>
      <c r="R59" s="335"/>
      <c r="S59" s="335"/>
      <c r="T59" s="335"/>
      <c r="U59" s="335"/>
      <c r="V59" s="335"/>
      <c r="W59" s="335"/>
      <c r="X59" s="335"/>
      <c r="Y59" s="335"/>
      <c r="Z59" s="335"/>
      <c r="AA59" s="335"/>
      <c r="AB59" s="335"/>
    </row>
    <row r="60" spans="1:38" ht="15.6" customHeight="1" x14ac:dyDescent="0.25">
      <c r="A60" s="342"/>
      <c r="B60" s="335" t="s">
        <v>57</v>
      </c>
      <c r="D60" s="335"/>
      <c r="E60" s="335"/>
      <c r="F60" s="335"/>
      <c r="G60" s="342"/>
      <c r="H60" s="451" t="str">
        <f>" :   ("&amp;ROUND('Calibration Data'!P19,1)&amp;" ± 1) °C"</f>
        <v xml:space="preserve"> :   (25 ± 1) °C</v>
      </c>
      <c r="I60" s="451"/>
      <c r="K60" s="364"/>
      <c r="M60" s="365"/>
      <c r="N60" s="365"/>
      <c r="O60" s="365"/>
      <c r="P60" s="365"/>
      <c r="Q60" s="365"/>
      <c r="R60" s="365"/>
      <c r="S60" s="342"/>
      <c r="T60" s="342"/>
      <c r="U60" s="342"/>
      <c r="V60" s="342"/>
      <c r="W60" s="342"/>
      <c r="X60" s="342"/>
      <c r="Z60" s="335"/>
      <c r="AA60" s="335"/>
      <c r="AB60" s="335"/>
    </row>
    <row r="61" spans="1:38" ht="15.6" customHeight="1" x14ac:dyDescent="0.25">
      <c r="A61" s="342"/>
      <c r="B61" s="335" t="s">
        <v>58</v>
      </c>
      <c r="D61" s="335"/>
      <c r="E61" s="335"/>
      <c r="F61" s="335"/>
      <c r="G61" s="342"/>
      <c r="H61" s="667" t="str">
        <f>" :   ("&amp;ROUND('Calibration Data'!Q19,1)&amp;" ± 5) % "</f>
        <v xml:space="preserve"> :   (33 ± 5) % </v>
      </c>
      <c r="I61" s="667"/>
      <c r="K61" s="364"/>
      <c r="M61" s="366"/>
      <c r="N61" s="366"/>
      <c r="O61" s="366"/>
      <c r="P61" s="366"/>
      <c r="Q61" s="366"/>
      <c r="R61" s="366"/>
      <c r="S61" s="367"/>
      <c r="T61" s="367"/>
      <c r="U61" s="342"/>
      <c r="V61" s="665"/>
      <c r="W61" s="665"/>
      <c r="X61" s="333"/>
      <c r="Z61" s="335"/>
      <c r="AA61" s="335"/>
      <c r="AB61" s="335"/>
    </row>
    <row r="62" spans="1:38" ht="15.6" customHeight="1" x14ac:dyDescent="0.25">
      <c r="A62" s="342"/>
      <c r="B62" s="335"/>
      <c r="D62" s="335"/>
      <c r="E62" s="335"/>
      <c r="F62" s="335"/>
      <c r="G62" s="342"/>
      <c r="H62" s="368"/>
      <c r="I62" s="368"/>
      <c r="K62" s="364"/>
      <c r="M62" s="366"/>
      <c r="N62" s="366"/>
      <c r="O62" s="366"/>
      <c r="P62" s="366"/>
      <c r="Q62" s="366"/>
      <c r="R62" s="366"/>
      <c r="S62" s="367"/>
      <c r="T62" s="367"/>
      <c r="U62" s="342"/>
      <c r="V62" s="333"/>
      <c r="W62" s="333"/>
      <c r="X62" s="333"/>
      <c r="Z62" s="335"/>
      <c r="AA62" s="335"/>
      <c r="AB62" s="335"/>
    </row>
    <row r="63" spans="1:38" ht="15.6" customHeight="1" x14ac:dyDescent="0.25">
      <c r="A63" s="342"/>
      <c r="B63" s="335"/>
      <c r="D63" s="335"/>
      <c r="E63" s="335"/>
      <c r="F63" s="335"/>
      <c r="G63" s="342"/>
      <c r="H63" s="368"/>
      <c r="I63" s="368"/>
      <c r="K63" s="364"/>
      <c r="M63" s="366"/>
      <c r="N63" s="366"/>
      <c r="O63" s="366"/>
      <c r="P63" s="366"/>
      <c r="Q63" s="366"/>
      <c r="R63" s="366"/>
      <c r="S63" s="367"/>
      <c r="T63" s="367"/>
      <c r="U63" s="342"/>
      <c r="V63" s="333"/>
      <c r="W63" s="333"/>
      <c r="X63" s="333"/>
      <c r="Z63" s="335"/>
      <c r="AA63" s="335"/>
      <c r="AB63" s="335"/>
    </row>
    <row r="64" spans="1:38" ht="15.75" x14ac:dyDescent="0.25">
      <c r="A64" s="331" t="s">
        <v>146</v>
      </c>
      <c r="B64" s="342"/>
      <c r="C64" s="335"/>
      <c r="E64" s="335"/>
      <c r="F64" s="335"/>
      <c r="G64" s="335"/>
      <c r="H64" s="335"/>
      <c r="I64" s="335"/>
      <c r="J64" s="335"/>
      <c r="K64" s="335"/>
      <c r="L64" s="335"/>
      <c r="M64" s="335"/>
      <c r="N64" s="335"/>
      <c r="O64" s="335"/>
      <c r="P64" s="335"/>
      <c r="Q64" s="335"/>
      <c r="R64" s="335"/>
      <c r="S64" s="335"/>
      <c r="T64" s="335"/>
      <c r="U64" s="335"/>
      <c r="V64" s="335"/>
      <c r="W64" s="335"/>
      <c r="X64" s="335"/>
      <c r="Y64" s="335"/>
      <c r="Z64" s="335"/>
      <c r="AA64" s="335"/>
      <c r="AB64" s="335"/>
    </row>
    <row r="65" spans="1:28" ht="6" customHeight="1" x14ac:dyDescent="0.25">
      <c r="B65" s="342"/>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c r="AA65" s="335"/>
      <c r="AB65" s="335"/>
    </row>
    <row r="66" spans="1:28" ht="15.75" customHeight="1" x14ac:dyDescent="0.25">
      <c r="A66" s="371" t="s">
        <v>147</v>
      </c>
      <c r="B66" s="445" t="str">
        <f>"The above results were those obtained at the time of calibration and refer only to the testing machine calibrated in "&amp;LOWER('Dash Board'!N17)&amp;"."</f>
        <v>The above results were those obtained at the time of calibration and refer only to the testing machine calibrated in compression.</v>
      </c>
      <c r="C66" s="445"/>
      <c r="D66" s="445"/>
      <c r="E66" s="445"/>
      <c r="F66" s="445"/>
      <c r="G66" s="445"/>
      <c r="H66" s="445"/>
      <c r="I66" s="445"/>
      <c r="J66" s="445"/>
      <c r="K66" s="445"/>
      <c r="L66" s="445"/>
      <c r="M66" s="445"/>
      <c r="N66" s="445"/>
      <c r="O66" s="445"/>
      <c r="P66" s="445"/>
      <c r="Q66" s="445"/>
      <c r="R66" s="445"/>
      <c r="S66" s="345"/>
      <c r="T66" s="345"/>
      <c r="U66" s="345"/>
      <c r="V66" s="345"/>
      <c r="W66" s="345"/>
      <c r="X66" s="345"/>
      <c r="Y66" s="345"/>
      <c r="Z66" s="345"/>
      <c r="AA66" s="358"/>
      <c r="AB66" s="363" t="s">
        <v>264</v>
      </c>
    </row>
    <row r="67" spans="1:28" ht="14.25" customHeight="1" x14ac:dyDescent="0.25">
      <c r="A67" s="371"/>
      <c r="B67" s="445"/>
      <c r="C67" s="445"/>
      <c r="D67" s="445"/>
      <c r="E67" s="445"/>
      <c r="F67" s="445"/>
      <c r="G67" s="445"/>
      <c r="H67" s="445"/>
      <c r="I67" s="445"/>
      <c r="J67" s="445"/>
      <c r="K67" s="445"/>
      <c r="L67" s="445"/>
      <c r="M67" s="445"/>
      <c r="N67" s="445"/>
      <c r="O67" s="445"/>
      <c r="P67" s="445"/>
      <c r="Q67" s="445"/>
      <c r="R67" s="445"/>
      <c r="S67" s="345"/>
      <c r="T67" s="345"/>
      <c r="U67" s="345"/>
      <c r="V67" s="345"/>
      <c r="W67" s="345"/>
      <c r="X67" s="345"/>
      <c r="Y67" s="345"/>
      <c r="Z67" s="345"/>
      <c r="AA67" s="358"/>
      <c r="AB67" s="358"/>
    </row>
    <row r="68" spans="1:28" ht="60.75" hidden="1" customHeight="1" x14ac:dyDescent="0.25">
      <c r="A68" s="416" t="s">
        <v>147</v>
      </c>
      <c r="B68" s="445"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445"/>
      <c r="D68" s="445"/>
      <c r="E68" s="445"/>
      <c r="F68" s="445"/>
      <c r="G68" s="445"/>
      <c r="H68" s="445"/>
      <c r="I68" s="445"/>
      <c r="J68" s="445"/>
      <c r="K68" s="445"/>
      <c r="L68" s="445"/>
      <c r="M68" s="445"/>
      <c r="N68" s="445"/>
      <c r="O68" s="445"/>
      <c r="P68" s="445"/>
      <c r="Q68" s="445"/>
      <c r="R68" s="445"/>
      <c r="S68" s="358"/>
      <c r="T68" s="358"/>
      <c r="U68" s="358"/>
      <c r="V68" s="358"/>
      <c r="W68" s="358"/>
      <c r="X68" s="358"/>
      <c r="Y68" s="358"/>
      <c r="Z68" s="358"/>
      <c r="AA68" s="358"/>
      <c r="AB68" s="358"/>
    </row>
    <row r="69" spans="1:28" ht="30" customHeight="1" x14ac:dyDescent="0.25">
      <c r="A69" s="417" t="s">
        <v>147</v>
      </c>
      <c r="B69" s="445" t="s">
        <v>160</v>
      </c>
      <c r="C69" s="445"/>
      <c r="D69" s="445"/>
      <c r="E69" s="445"/>
      <c r="F69" s="445"/>
      <c r="G69" s="445"/>
      <c r="H69" s="445"/>
      <c r="I69" s="445"/>
      <c r="J69" s="445"/>
      <c r="K69" s="445"/>
      <c r="L69" s="445"/>
      <c r="M69" s="445"/>
      <c r="N69" s="445"/>
      <c r="O69" s="445"/>
      <c r="P69" s="445"/>
      <c r="Q69" s="445"/>
      <c r="R69" s="445"/>
      <c r="S69" s="358"/>
      <c r="T69" s="358"/>
      <c r="U69" s="358"/>
      <c r="V69" s="358"/>
      <c r="W69" s="358"/>
      <c r="X69" s="358"/>
      <c r="Y69" s="358"/>
      <c r="Z69" s="358"/>
      <c r="AA69" s="358"/>
      <c r="AB69" s="358"/>
    </row>
    <row r="70" spans="1:28" ht="15" customHeight="1" x14ac:dyDescent="0.25">
      <c r="A70" s="371" t="s">
        <v>147</v>
      </c>
      <c r="B70" s="445" t="str">
        <f>IF('Dash Board'!O18="kN","The unit kN can only be directly converted to other force units.","The conversion factor of 1 "&amp;Software!E21&amp;" = "&amp;Software!K35&amp;" kN is only applicable in conversion of force units.")</f>
        <v>The conversion factor of 1 kgf = 0.00980665 kN is only applicable in conversion of force units.</v>
      </c>
      <c r="C70" s="445"/>
      <c r="D70" s="445"/>
      <c r="E70" s="445"/>
      <c r="F70" s="445"/>
      <c r="G70" s="445"/>
      <c r="H70" s="445"/>
      <c r="I70" s="445"/>
      <c r="J70" s="445"/>
      <c r="K70" s="445"/>
      <c r="L70" s="445"/>
      <c r="M70" s="445"/>
      <c r="N70" s="445"/>
      <c r="O70" s="445"/>
      <c r="P70" s="445"/>
      <c r="Q70" s="445"/>
      <c r="R70" s="445"/>
      <c r="S70" s="354"/>
      <c r="T70" s="354"/>
      <c r="U70" s="354"/>
      <c r="V70" s="354"/>
      <c r="W70" s="354"/>
      <c r="X70" s="354"/>
      <c r="Y70" s="354"/>
      <c r="Z70" s="354"/>
      <c r="AA70" s="358"/>
      <c r="AB70" s="358"/>
    </row>
    <row r="71" spans="1:28" ht="15" hidden="1" customHeight="1" x14ac:dyDescent="0.25">
      <c r="A71" s="371" t="s">
        <v>147</v>
      </c>
      <c r="B71" s="445" t="str">
        <f>"The testing machine's indicator make/model: "&amp;IF('Dash Board'!D26="","none",'Dash Board'!D26)&amp;" with serial number of: "&amp;'Dash Board'!D27&amp;"."</f>
        <v>The testing machine's indicator make/model: INTERCOMP PT20 with serial number of: 0307YM23003.</v>
      </c>
      <c r="C71" s="445"/>
      <c r="D71" s="445"/>
      <c r="E71" s="445"/>
      <c r="F71" s="445"/>
      <c r="G71" s="445"/>
      <c r="H71" s="445"/>
      <c r="I71" s="445"/>
      <c r="J71" s="445"/>
      <c r="K71" s="445"/>
      <c r="L71" s="445"/>
      <c r="M71" s="445"/>
      <c r="N71" s="445"/>
      <c r="O71" s="445"/>
      <c r="P71" s="445"/>
      <c r="Q71" s="445"/>
      <c r="R71" s="445"/>
      <c r="S71" s="354"/>
      <c r="T71" s="354"/>
      <c r="U71" s="354"/>
      <c r="V71" s="354"/>
      <c r="W71" s="354"/>
      <c r="X71" s="354"/>
      <c r="Y71" s="354"/>
      <c r="Z71" s="354"/>
      <c r="AA71" s="358"/>
      <c r="AB71" s="358"/>
    </row>
    <row r="72" spans="1:28" ht="15" hidden="1" customHeight="1" x14ac:dyDescent="0.25">
      <c r="A72" s="371" t="s">
        <v>147</v>
      </c>
      <c r="B72" s="445" t="str">
        <f>"The testing machine's indicator make/model: "&amp;'Dash Board'!D26&amp;" with serial number of: "&amp;'Dash Board'!D27&amp;"."</f>
        <v>The testing machine's indicator make/model: INTERCOMP PT20 with serial number of: 0307YM23003.</v>
      </c>
      <c r="C72" s="445"/>
      <c r="D72" s="445"/>
      <c r="E72" s="445"/>
      <c r="F72" s="445"/>
      <c r="G72" s="445"/>
      <c r="H72" s="445"/>
      <c r="I72" s="445"/>
      <c r="J72" s="445"/>
      <c r="K72" s="445"/>
      <c r="L72" s="445"/>
      <c r="M72" s="445"/>
      <c r="N72" s="445"/>
      <c r="O72" s="445"/>
      <c r="P72" s="445"/>
      <c r="Q72" s="445"/>
      <c r="R72" s="445"/>
      <c r="S72" s="354"/>
      <c r="T72" s="354"/>
      <c r="U72" s="354"/>
      <c r="V72" s="354"/>
      <c r="W72" s="354"/>
      <c r="X72" s="354"/>
      <c r="Y72" s="354"/>
      <c r="Z72" s="354"/>
      <c r="AA72" s="358"/>
      <c r="AB72" s="358"/>
    </row>
    <row r="73" spans="1:28" ht="15.75" customHeight="1" x14ac:dyDescent="0.25">
      <c r="A73" s="371" t="s">
        <v>147</v>
      </c>
      <c r="B73" s="445" t="str">
        <f>"The testing machine was calibrated at the "&amp;'Dash Board'!N7&amp;" of "&amp;'Dash Board'!D7&amp;" at "&amp;'Dash Board'!D8&amp;IF('Dash Board'!D9&lt;&gt;"",", "&amp;'Dash Board'!D9&amp;"."," is used during the calibration.")</f>
        <v>The testing machine was calibrated at the Force Standards Laboratory, NML ITDI of SAVVICE CORPORATION at 3rd Floor BMWC Bldg., Cagayan Valley Road, Sta. Rita, Guiginto, Bulacan.</v>
      </c>
      <c r="C73" s="445"/>
      <c r="D73" s="445"/>
      <c r="E73" s="445"/>
      <c r="F73" s="445"/>
      <c r="G73" s="445"/>
      <c r="H73" s="445"/>
      <c r="I73" s="445"/>
      <c r="J73" s="445"/>
      <c r="K73" s="445"/>
      <c r="L73" s="445"/>
      <c r="M73" s="445"/>
      <c r="N73" s="445"/>
      <c r="O73" s="445"/>
      <c r="P73" s="445"/>
      <c r="Q73" s="445"/>
      <c r="R73" s="445"/>
      <c r="S73" s="358"/>
      <c r="T73" s="358"/>
      <c r="U73" s="358"/>
      <c r="V73" s="358"/>
      <c r="W73" s="358"/>
      <c r="X73" s="358"/>
      <c r="Y73" s="358"/>
      <c r="Z73" s="358"/>
      <c r="AA73" s="358"/>
      <c r="AB73" s="358"/>
    </row>
    <row r="74" spans="1:28" ht="29.25" customHeight="1" x14ac:dyDescent="0.25">
      <c r="A74" s="371"/>
      <c r="B74" s="445"/>
      <c r="C74" s="445"/>
      <c r="D74" s="445"/>
      <c r="E74" s="445"/>
      <c r="F74" s="445"/>
      <c r="G74" s="445"/>
      <c r="H74" s="445"/>
      <c r="I74" s="445"/>
      <c r="J74" s="445"/>
      <c r="K74" s="445"/>
      <c r="L74" s="445"/>
      <c r="M74" s="445"/>
      <c r="N74" s="445"/>
      <c r="O74" s="445"/>
      <c r="P74" s="445"/>
      <c r="Q74" s="445"/>
      <c r="R74" s="445"/>
      <c r="S74" s="358"/>
      <c r="T74" s="358"/>
      <c r="U74" s="358"/>
      <c r="V74" s="358"/>
      <c r="W74" s="358"/>
      <c r="X74" s="358"/>
      <c r="Y74" s="358"/>
      <c r="Z74" s="358"/>
      <c r="AA74" s="358"/>
      <c r="AB74" s="358"/>
    </row>
    <row r="75" spans="1:28" ht="15" customHeight="1" x14ac:dyDescent="0.25">
      <c r="A75" s="371"/>
      <c r="B75" s="372"/>
      <c r="C75" s="372"/>
      <c r="D75" s="372"/>
      <c r="E75" s="372"/>
      <c r="F75" s="372"/>
      <c r="G75" s="372"/>
      <c r="H75" s="372"/>
      <c r="I75" s="372"/>
      <c r="J75" s="372"/>
      <c r="K75" s="372"/>
      <c r="L75" s="372"/>
      <c r="M75" s="372"/>
      <c r="N75" s="372"/>
      <c r="O75" s="372"/>
      <c r="P75" s="372"/>
      <c r="Q75" s="372"/>
      <c r="R75" s="372"/>
      <c r="S75" s="372"/>
      <c r="T75" s="372"/>
      <c r="U75" s="372"/>
      <c r="V75" s="372"/>
      <c r="W75" s="372"/>
      <c r="X75" s="372"/>
      <c r="Y75" s="372"/>
      <c r="Z75" s="372"/>
      <c r="AA75" s="358"/>
      <c r="AB75" s="358"/>
    </row>
    <row r="76" spans="1:28" ht="15" customHeight="1" x14ac:dyDescent="0.25">
      <c r="A76" s="342"/>
      <c r="B76" s="358"/>
      <c r="C76" s="358"/>
      <c r="D76" s="358"/>
      <c r="E76" s="358"/>
      <c r="F76" s="358"/>
      <c r="G76" s="358"/>
      <c r="H76" s="358"/>
      <c r="I76" s="358"/>
      <c r="J76" s="358"/>
      <c r="K76" s="358"/>
      <c r="L76" s="358"/>
      <c r="M76" s="358"/>
      <c r="N76" s="358"/>
      <c r="O76" s="358"/>
      <c r="P76" s="335"/>
      <c r="Q76" s="335"/>
      <c r="R76" s="335"/>
      <c r="S76" s="335"/>
      <c r="T76" s="335"/>
      <c r="U76" s="335"/>
      <c r="V76" s="335"/>
      <c r="W76" s="335"/>
      <c r="X76" s="335"/>
      <c r="Y76" s="335"/>
      <c r="Z76" s="335"/>
      <c r="AA76" s="335"/>
      <c r="AB76" s="335"/>
    </row>
    <row r="77" spans="1:28" ht="15" customHeight="1" x14ac:dyDescent="0.25">
      <c r="A77" s="442" t="str">
        <f>'Dash Board'!N10</f>
        <v>Ahdrian Camilo C. Gernale</v>
      </c>
      <c r="B77" s="442"/>
      <c r="C77" s="442"/>
      <c r="D77" s="442"/>
      <c r="E77" s="442"/>
      <c r="F77" s="442"/>
      <c r="G77" s="442"/>
      <c r="H77" s="442"/>
      <c r="I77" s="442"/>
      <c r="J77" s="335"/>
      <c r="K77" s="335"/>
      <c r="L77" s="335"/>
      <c r="M77" s="358"/>
      <c r="N77" s="358"/>
      <c r="O77" s="358"/>
      <c r="P77" s="335"/>
      <c r="Q77" s="335"/>
      <c r="R77" s="335"/>
      <c r="S77" s="335"/>
      <c r="T77" s="335"/>
      <c r="U77" s="335"/>
      <c r="V77" s="335"/>
      <c r="W77" s="335"/>
      <c r="X77" s="335"/>
      <c r="Y77" s="335"/>
      <c r="Z77" s="335"/>
      <c r="AA77" s="335"/>
      <c r="AB77" s="335"/>
    </row>
    <row r="78" spans="1:28" ht="15.75" x14ac:dyDescent="0.25">
      <c r="A78" s="442" t="str">
        <f>VLOOKUP(A77,calibratorsdb[],2,FALSE)</f>
        <v>Science Research Specialist II</v>
      </c>
      <c r="B78" s="442"/>
      <c r="C78" s="442"/>
      <c r="D78" s="442"/>
      <c r="E78" s="442"/>
      <c r="F78" s="442"/>
      <c r="G78" s="442"/>
      <c r="H78" s="442"/>
      <c r="I78" s="442"/>
      <c r="J78" s="335"/>
      <c r="K78" s="335"/>
      <c r="L78" s="335"/>
      <c r="M78" s="358"/>
      <c r="N78" s="358"/>
      <c r="O78" s="358"/>
      <c r="P78" s="335"/>
      <c r="Q78" s="335"/>
      <c r="R78" s="335"/>
      <c r="S78" s="335"/>
      <c r="T78" s="335"/>
      <c r="U78" s="335"/>
      <c r="V78" s="335"/>
      <c r="W78" s="335"/>
      <c r="X78" s="335"/>
      <c r="Y78" s="335"/>
      <c r="Z78" s="335"/>
      <c r="AA78" s="335"/>
      <c r="AB78" s="335"/>
    </row>
    <row r="79" spans="1:28" ht="15.75" x14ac:dyDescent="0.25">
      <c r="A79" s="442"/>
      <c r="B79" s="442"/>
      <c r="C79" s="442"/>
      <c r="D79" s="442"/>
      <c r="E79" s="442"/>
      <c r="F79" s="442"/>
      <c r="G79" s="442"/>
      <c r="H79" s="442"/>
      <c r="I79" s="442"/>
      <c r="J79" s="335"/>
      <c r="K79" s="335"/>
      <c r="L79" s="335"/>
      <c r="M79" s="358"/>
      <c r="N79" s="358"/>
      <c r="O79" s="358"/>
      <c r="P79" s="335"/>
      <c r="Q79" s="335"/>
      <c r="R79" s="335"/>
      <c r="S79" s="335"/>
      <c r="T79" s="335"/>
      <c r="U79" s="335"/>
      <c r="V79" s="335"/>
      <c r="W79" s="335"/>
      <c r="X79" s="335"/>
      <c r="Y79" s="335"/>
      <c r="Z79" s="335"/>
      <c r="AA79" s="335"/>
      <c r="AB79" s="335"/>
    </row>
    <row r="80" spans="1:28" ht="15.75" x14ac:dyDescent="0.25">
      <c r="A80" s="364"/>
      <c r="B80" s="364"/>
      <c r="C80" s="364"/>
      <c r="D80" s="364"/>
      <c r="E80" s="364"/>
      <c r="F80" s="364"/>
      <c r="G80" s="364"/>
      <c r="H80" s="364"/>
      <c r="I80" s="364"/>
      <c r="J80" s="335"/>
      <c r="K80" s="335"/>
      <c r="L80" s="335"/>
      <c r="M80" s="358"/>
      <c r="N80" s="358"/>
      <c r="O80" s="358"/>
      <c r="P80" s="335"/>
      <c r="Q80" s="335"/>
      <c r="R80" s="335"/>
      <c r="S80" s="335"/>
      <c r="T80" s="335"/>
      <c r="U80" s="335"/>
      <c r="V80" s="335"/>
      <c r="W80" s="335"/>
      <c r="X80" s="335"/>
      <c r="Y80" s="335"/>
      <c r="Z80" s="335"/>
      <c r="AA80" s="335"/>
      <c r="AB80" s="335"/>
    </row>
    <row r="81" spans="1:28" ht="15.75" customHeight="1" x14ac:dyDescent="0.25">
      <c r="A81" s="442" t="str">
        <f>IF('Dash Board'!N11&lt;&gt;"none",'Dash Board'!N11,"")</f>
        <v>Radley F. Manalo</v>
      </c>
      <c r="B81" s="442"/>
      <c r="C81" s="442"/>
      <c r="D81" s="442"/>
      <c r="E81" s="442"/>
      <c r="F81" s="442"/>
      <c r="G81" s="442"/>
      <c r="H81" s="442"/>
      <c r="I81" s="442"/>
      <c r="J81" s="331" t="str">
        <f>IF(A81&lt;&gt;"","","For the Chief, National Metrology Laboratory")</f>
        <v/>
      </c>
      <c r="K81" s="358"/>
      <c r="L81" s="358"/>
      <c r="M81" s="358"/>
      <c r="N81" s="358"/>
      <c r="Q81" s="335"/>
      <c r="R81" s="335"/>
      <c r="S81" s="335"/>
      <c r="T81" s="335"/>
      <c r="U81" s="335"/>
      <c r="V81" s="335"/>
      <c r="W81" s="335"/>
      <c r="X81" s="335"/>
      <c r="Y81" s="335"/>
      <c r="Z81" s="335"/>
      <c r="AA81" s="335"/>
      <c r="AB81" s="335"/>
    </row>
    <row r="82" spans="1:28" ht="15.75" customHeight="1" x14ac:dyDescent="0.25">
      <c r="A82" s="442" t="str">
        <f>IF(A81="","",VLOOKUP(A81,calibratorsdb[],2,FALSE))</f>
        <v>Senior Science Research Specialist</v>
      </c>
      <c r="B82" s="442"/>
      <c r="C82" s="442"/>
      <c r="D82" s="442"/>
      <c r="E82" s="442"/>
      <c r="F82" s="442"/>
      <c r="G82" s="442"/>
      <c r="H82" s="442"/>
      <c r="I82" s="442"/>
      <c r="J82" s="358"/>
      <c r="K82" s="358"/>
      <c r="L82" s="358"/>
      <c r="M82" s="358"/>
      <c r="N82" s="358"/>
      <c r="Q82" s="335"/>
      <c r="R82" s="335"/>
      <c r="S82" s="335"/>
      <c r="T82" s="335"/>
      <c r="U82" s="335"/>
      <c r="V82" s="335"/>
      <c r="W82" s="335"/>
      <c r="X82" s="335"/>
      <c r="Y82" s="335"/>
      <c r="Z82" s="335"/>
      <c r="AA82" s="335"/>
      <c r="AB82" s="335"/>
    </row>
    <row r="83" spans="1:28" ht="15.75" customHeight="1" x14ac:dyDescent="0.25">
      <c r="A83" s="364"/>
      <c r="B83" s="364"/>
      <c r="C83" s="364"/>
      <c r="D83" s="364"/>
      <c r="E83" s="364"/>
      <c r="F83" s="364"/>
      <c r="G83" s="364"/>
      <c r="H83" s="364"/>
      <c r="I83" s="364"/>
      <c r="J83" s="358"/>
      <c r="K83" s="358"/>
      <c r="L83" s="358"/>
      <c r="M83" s="358"/>
      <c r="N83" s="358"/>
      <c r="Q83" s="335"/>
      <c r="R83" s="335"/>
      <c r="S83" s="335"/>
      <c r="T83" s="335"/>
      <c r="U83" s="335"/>
      <c r="V83" s="335"/>
      <c r="W83" s="335"/>
      <c r="X83" s="335"/>
      <c r="Y83" s="335"/>
      <c r="Z83" s="335"/>
      <c r="AA83" s="335"/>
      <c r="AB83" s="335"/>
    </row>
    <row r="84" spans="1:28" ht="15.75" customHeight="1" x14ac:dyDescent="0.25">
      <c r="A84" s="364"/>
      <c r="B84" s="364"/>
      <c r="C84" s="364"/>
      <c r="D84" s="364"/>
      <c r="E84" s="364"/>
      <c r="F84" s="364"/>
      <c r="G84" s="364"/>
      <c r="H84" s="364"/>
      <c r="I84" s="364"/>
      <c r="J84" s="443" t="str">
        <f>IF(A81&lt;&gt;"","","MARYNESS I. SALAZAR")</f>
        <v/>
      </c>
      <c r="K84" s="443"/>
      <c r="L84" s="443"/>
      <c r="M84" s="443"/>
      <c r="N84" s="443"/>
      <c r="O84" s="443"/>
      <c r="P84" s="443"/>
      <c r="Q84" s="443"/>
      <c r="R84" s="335"/>
      <c r="S84" s="335"/>
      <c r="T84" s="335"/>
      <c r="U84" s="335"/>
      <c r="V84" s="335"/>
      <c r="W84" s="335"/>
      <c r="X84" s="335"/>
      <c r="Y84" s="335"/>
      <c r="Z84" s="335"/>
      <c r="AA84" s="335"/>
      <c r="AB84" s="335"/>
    </row>
    <row r="85" spans="1:28" ht="15.6" customHeight="1" x14ac:dyDescent="0.25">
      <c r="A85" s="342"/>
      <c r="B85" s="342"/>
      <c r="C85" s="358"/>
      <c r="D85" s="358"/>
      <c r="E85" s="358"/>
      <c r="F85" s="358"/>
      <c r="G85" s="358"/>
      <c r="H85" s="358"/>
      <c r="I85" s="358"/>
      <c r="J85" s="666" t="str">
        <f>IF(A81&lt;&gt;"","For the Chief, National Metrology Laboratory","Head, Pressure and Force Standards Section")</f>
        <v>For the Chief, National Metrology Laboratory</v>
      </c>
      <c r="K85" s="666"/>
      <c r="L85" s="666"/>
      <c r="M85" s="666"/>
      <c r="N85" s="666"/>
      <c r="O85" s="666"/>
      <c r="P85" s="666"/>
      <c r="Q85" s="666"/>
      <c r="R85" s="366"/>
      <c r="S85" s="366"/>
      <c r="T85" s="366"/>
      <c r="U85" s="366"/>
      <c r="V85" s="366"/>
      <c r="W85" s="366"/>
      <c r="X85" s="366"/>
      <c r="Y85" s="366"/>
      <c r="Z85" s="335"/>
      <c r="AA85" s="335"/>
      <c r="AB85" s="335"/>
    </row>
    <row r="86" spans="1:28" ht="15" customHeight="1" x14ac:dyDescent="0.25">
      <c r="A86" s="342"/>
      <c r="B86" s="342"/>
      <c r="C86" s="335"/>
      <c r="D86" s="335"/>
      <c r="E86" s="335"/>
      <c r="F86" s="335"/>
      <c r="G86" s="335"/>
      <c r="H86" s="335"/>
      <c r="I86" s="335"/>
      <c r="J86" s="335"/>
      <c r="K86" s="335"/>
      <c r="L86" s="335"/>
      <c r="M86" s="335"/>
      <c r="N86" s="335"/>
      <c r="O86" s="335"/>
      <c r="Q86" s="335"/>
      <c r="R86" s="335"/>
      <c r="S86" s="335"/>
      <c r="T86" s="335"/>
      <c r="U86" s="335"/>
      <c r="V86" s="335"/>
      <c r="W86" s="335"/>
      <c r="X86" s="335"/>
      <c r="Y86" s="335"/>
      <c r="Z86" s="335"/>
      <c r="AA86" s="335"/>
      <c r="AB86" s="335"/>
    </row>
    <row r="87" spans="1:28" ht="15" customHeight="1" x14ac:dyDescent="0.25">
      <c r="A87" s="342"/>
      <c r="B87" s="342"/>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row>
    <row r="88" spans="1:28" ht="15.75" x14ac:dyDescent="0.25">
      <c r="A88" s="342"/>
      <c r="B88" s="342"/>
      <c r="C88" s="335"/>
      <c r="D88" s="335"/>
      <c r="E88" s="335"/>
      <c r="F88" s="335"/>
      <c r="G88" s="335"/>
      <c r="H88" s="335"/>
      <c r="I88" s="335"/>
      <c r="J88" s="442" t="str">
        <f>IF(A81&lt;&gt;"","MARYNESS I. SALAZAR","")</f>
        <v>MARYNESS I. SALAZAR</v>
      </c>
      <c r="K88" s="442"/>
      <c r="L88" s="442"/>
      <c r="M88" s="442"/>
      <c r="N88" s="442"/>
      <c r="O88" s="442"/>
      <c r="P88" s="442"/>
      <c r="Q88" s="442"/>
      <c r="R88" s="335"/>
      <c r="S88" s="335"/>
      <c r="T88" s="335"/>
      <c r="U88" s="335"/>
      <c r="V88" s="335"/>
      <c r="W88" s="335"/>
      <c r="X88" s="335"/>
      <c r="Y88" s="335"/>
      <c r="Z88" s="366"/>
      <c r="AA88" s="358"/>
      <c r="AB88" s="358"/>
    </row>
    <row r="89" spans="1:28" ht="15.75" x14ac:dyDescent="0.25">
      <c r="A89" s="342"/>
      <c r="B89" s="342"/>
      <c r="C89" s="335"/>
      <c r="D89" s="335"/>
      <c r="E89" s="335"/>
      <c r="F89" s="335"/>
      <c r="G89" s="335"/>
      <c r="H89" s="335"/>
      <c r="I89" s="335"/>
      <c r="J89" s="442" t="str">
        <f>IF(A81&lt;&gt;"","Head, Pressure and Force Standards Section","")</f>
        <v>Head, Pressure and Force Standards Section</v>
      </c>
      <c r="K89" s="442"/>
      <c r="L89" s="442"/>
      <c r="M89" s="442"/>
      <c r="N89" s="442"/>
      <c r="O89" s="442"/>
      <c r="P89" s="442"/>
      <c r="Q89" s="442"/>
      <c r="R89" s="335"/>
      <c r="S89" s="335"/>
      <c r="T89" s="335"/>
      <c r="U89" s="335"/>
      <c r="V89" s="335"/>
      <c r="W89" s="335"/>
      <c r="X89" s="335"/>
      <c r="Y89" s="335"/>
      <c r="Z89" s="366"/>
      <c r="AA89" s="358"/>
      <c r="AB89" s="358"/>
    </row>
    <row r="90" spans="1:28" ht="33" customHeight="1" x14ac:dyDescent="0.25">
      <c r="B90" s="373"/>
      <c r="G90" s="373"/>
      <c r="H90" s="373"/>
      <c r="J90" s="374"/>
      <c r="K90" s="374"/>
      <c r="L90" s="374"/>
      <c r="M90" s="374"/>
      <c r="N90" s="374"/>
    </row>
    <row r="91" spans="1:28" x14ac:dyDescent="0.25">
      <c r="B91" s="373" t="s">
        <v>153</v>
      </c>
      <c r="E91" s="375"/>
      <c r="O91" s="376"/>
    </row>
    <row r="92" spans="1:28" x14ac:dyDescent="0.25">
      <c r="B92" s="373" t="str">
        <f>"Calibration Certificate No. "&amp;'Dash Board'!D18</f>
        <v>Calibration Certificate No. 03-2026-FORC-0087</v>
      </c>
      <c r="C92" s="373"/>
      <c r="D92" s="373"/>
      <c r="E92" s="373"/>
      <c r="F92" s="373"/>
      <c r="G92" s="373"/>
      <c r="H92" s="373"/>
    </row>
  </sheetData>
  <sheetProtection algorithmName="SHA-512" hashValue="m9d2mWmKZktPkCgecCwt9zmLS0VQWjhrp5zyTSVU1Ntne71OzYYPABz/DxDvPuryeLLarq2CoG8n/3zFfhZjKA==" saltValue="8KE9Ce0Vzx7jobmEPcon6A==" spinCount="100000" sheet="1" objects="1" scenarios="1"/>
  <mergeCells count="126">
    <mergeCell ref="G33:H33"/>
    <mergeCell ref="I33:J33"/>
    <mergeCell ref="L33:N33"/>
    <mergeCell ref="O33:R33"/>
    <mergeCell ref="A36:C36"/>
    <mergeCell ref="D36:F36"/>
    <mergeCell ref="G36:H36"/>
    <mergeCell ref="I36:J36"/>
    <mergeCell ref="L36:N36"/>
    <mergeCell ref="O36:R36"/>
    <mergeCell ref="A35:C35"/>
    <mergeCell ref="D35:F35"/>
    <mergeCell ref="G35:H35"/>
    <mergeCell ref="I35:J35"/>
    <mergeCell ref="L35:N35"/>
    <mergeCell ref="O35:R35"/>
    <mergeCell ref="J89:Q89"/>
    <mergeCell ref="A31:C31"/>
    <mergeCell ref="D31:F31"/>
    <mergeCell ref="G31:H31"/>
    <mergeCell ref="I31:J31"/>
    <mergeCell ref="L31:N31"/>
    <mergeCell ref="O31:R31"/>
    <mergeCell ref="A32:C32"/>
    <mergeCell ref="D32:F32"/>
    <mergeCell ref="G32:H32"/>
    <mergeCell ref="A79:I79"/>
    <mergeCell ref="A81:I81"/>
    <mergeCell ref="A82:I82"/>
    <mergeCell ref="J84:Q84"/>
    <mergeCell ref="J85:Q85"/>
    <mergeCell ref="J88:Q88"/>
    <mergeCell ref="B70:R70"/>
    <mergeCell ref="B71:R71"/>
    <mergeCell ref="B72:R72"/>
    <mergeCell ref="B73:R74"/>
    <mergeCell ref="A77:I77"/>
    <mergeCell ref="A78:I78"/>
    <mergeCell ref="H60:I60"/>
    <mergeCell ref="H61:I61"/>
    <mergeCell ref="V61:W61"/>
    <mergeCell ref="B66:R67"/>
    <mergeCell ref="B68:R68"/>
    <mergeCell ref="B69:R69"/>
    <mergeCell ref="A48:F48"/>
    <mergeCell ref="G48:I48"/>
    <mergeCell ref="J48:L48"/>
    <mergeCell ref="M48:R48"/>
    <mergeCell ref="A53:R53"/>
    <mergeCell ref="A55:R55"/>
    <mergeCell ref="A40:R40"/>
    <mergeCell ref="A41:Z41"/>
    <mergeCell ref="A43:R43"/>
    <mergeCell ref="A47:F47"/>
    <mergeCell ref="G47:I47"/>
    <mergeCell ref="J47:L47"/>
    <mergeCell ref="M47:R47"/>
    <mergeCell ref="A30:C30"/>
    <mergeCell ref="D30:F30"/>
    <mergeCell ref="G30:H30"/>
    <mergeCell ref="I30:J30"/>
    <mergeCell ref="L30:N30"/>
    <mergeCell ref="O30:R30"/>
    <mergeCell ref="A34:C34"/>
    <mergeCell ref="D34:F34"/>
    <mergeCell ref="G34:H34"/>
    <mergeCell ref="I34:J34"/>
    <mergeCell ref="L34:N34"/>
    <mergeCell ref="O34:R34"/>
    <mergeCell ref="I32:J32"/>
    <mergeCell ref="L32:N32"/>
    <mergeCell ref="O32:R32"/>
    <mergeCell ref="A33:C33"/>
    <mergeCell ref="D33:F33"/>
    <mergeCell ref="A29:C29"/>
    <mergeCell ref="D29:F29"/>
    <mergeCell ref="G29:H29"/>
    <mergeCell ref="I29:J29"/>
    <mergeCell ref="L29:N29"/>
    <mergeCell ref="O29:R29"/>
    <mergeCell ref="A28:C28"/>
    <mergeCell ref="D28:F28"/>
    <mergeCell ref="G28:H28"/>
    <mergeCell ref="I28:J28"/>
    <mergeCell ref="L28:N28"/>
    <mergeCell ref="O28:R28"/>
    <mergeCell ref="A27:C27"/>
    <mergeCell ref="D27:F27"/>
    <mergeCell ref="G27:H27"/>
    <mergeCell ref="I27:J27"/>
    <mergeCell ref="L27:N27"/>
    <mergeCell ref="O27:R27"/>
    <mergeCell ref="A26:C26"/>
    <mergeCell ref="D26:F26"/>
    <mergeCell ref="G26:H26"/>
    <mergeCell ref="I26:J26"/>
    <mergeCell ref="L26:N26"/>
    <mergeCell ref="O26:R26"/>
    <mergeCell ref="A25:C25"/>
    <mergeCell ref="D25:F25"/>
    <mergeCell ref="G25:H25"/>
    <mergeCell ref="I25:J25"/>
    <mergeCell ref="L25:N25"/>
    <mergeCell ref="O25:R25"/>
    <mergeCell ref="A23:F23"/>
    <mergeCell ref="G23:H23"/>
    <mergeCell ref="I23:J23"/>
    <mergeCell ref="L23:N23"/>
    <mergeCell ref="O23:R24"/>
    <mergeCell ref="A24:C24"/>
    <mergeCell ref="D24:F24"/>
    <mergeCell ref="G24:H24"/>
    <mergeCell ref="I24:J24"/>
    <mergeCell ref="L24:N24"/>
    <mergeCell ref="H13:R13"/>
    <mergeCell ref="H14:R14"/>
    <mergeCell ref="H15:R15"/>
    <mergeCell ref="H17:R17"/>
    <mergeCell ref="H18:R18"/>
    <mergeCell ref="H19:R19"/>
    <mergeCell ref="A6:R6"/>
    <mergeCell ref="A7:R7"/>
    <mergeCell ref="H9:R9"/>
    <mergeCell ref="H10:R10"/>
    <mergeCell ref="H11:R11"/>
    <mergeCell ref="H12:R12"/>
  </mergeCells>
  <pageMargins left="0.7" right="0.7" top="0.75" bottom="0" header="0.3" footer="0.5"/>
  <pageSetup paperSize="9" fitToHeight="2" orientation="portrait" r:id="rId1"/>
  <headerFooter differentFirst="1"/>
  <rowBreaks count="1" manualBreakCount="1">
    <brk id="43"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8A25-7C7F-4366-A3C7-693562C425D3}">
  <dimension ref="A1:AN94"/>
  <sheetViews>
    <sheetView tabSelected="1" view="pageLayout" topLeftCell="A58" zoomScale="115" zoomScaleNormal="130" zoomScaleSheetLayoutView="96" zoomScalePageLayoutView="115" workbookViewId="0">
      <selection activeCell="J78" sqref="J78"/>
    </sheetView>
  </sheetViews>
  <sheetFormatPr defaultColWidth="8.85546875" defaultRowHeight="15" x14ac:dyDescent="0.25"/>
  <cols>
    <col min="1" max="1" width="2.5703125" style="329" customWidth="1"/>
    <col min="2" max="3" width="3.42578125" style="329" customWidth="1"/>
    <col min="4" max="4" width="3.28515625" style="329" customWidth="1"/>
    <col min="5" max="5" width="2" style="329" customWidth="1"/>
    <col min="6" max="6" width="6.7109375" style="329" customWidth="1"/>
    <col min="7" max="7" width="2" style="329" customWidth="1"/>
    <col min="8" max="8" width="6.5703125" style="329" customWidth="1"/>
    <col min="9" max="9" width="5.7109375" style="329" customWidth="1"/>
    <col min="10" max="10" width="7.28515625" style="329" customWidth="1"/>
    <col min="11" max="11" width="7.140625" style="329" customWidth="1"/>
    <col min="12" max="12" width="3.42578125" style="329" customWidth="1"/>
    <col min="13" max="13" width="5.28515625" style="329" customWidth="1"/>
    <col min="14" max="14" width="3.85546875" style="329" customWidth="1"/>
    <col min="15" max="15" width="2.140625" style="329" customWidth="1"/>
    <col min="16" max="16" width="2.5703125" style="329" customWidth="1"/>
    <col min="17" max="17" width="4.42578125" style="329" customWidth="1"/>
    <col min="18" max="18" width="8.42578125" style="329" customWidth="1"/>
    <col min="19" max="19" width="3.140625" style="329" customWidth="1"/>
    <col min="20"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1" spans="1:40" x14ac:dyDescent="0.25">
      <c r="U1"/>
      <c r="V1"/>
      <c r="W1"/>
      <c r="X1"/>
      <c r="Y1"/>
      <c r="Z1"/>
      <c r="AA1"/>
      <c r="AB1"/>
      <c r="AC1"/>
      <c r="AD1"/>
      <c r="AE1"/>
      <c r="AF1"/>
      <c r="AG1"/>
      <c r="AH1"/>
      <c r="AI1"/>
      <c r="AJ1"/>
      <c r="AK1"/>
      <c r="AL1"/>
      <c r="AM1"/>
      <c r="AN1"/>
    </row>
    <row r="2" spans="1:40" x14ac:dyDescent="0.25">
      <c r="U2"/>
      <c r="V2"/>
      <c r="W2"/>
      <c r="X2"/>
      <c r="Y2"/>
      <c r="Z2"/>
      <c r="AA2"/>
      <c r="AB2"/>
      <c r="AC2"/>
      <c r="AD2"/>
      <c r="AE2"/>
      <c r="AF2"/>
      <c r="AG2"/>
      <c r="AH2"/>
      <c r="AI2"/>
      <c r="AJ2"/>
      <c r="AK2"/>
      <c r="AL2"/>
      <c r="AM2"/>
      <c r="AN2"/>
    </row>
    <row r="3" spans="1:40" x14ac:dyDescent="0.25">
      <c r="U3"/>
      <c r="V3"/>
      <c r="W3"/>
      <c r="X3"/>
      <c r="Y3"/>
      <c r="Z3"/>
      <c r="AA3"/>
      <c r="AB3"/>
      <c r="AC3"/>
      <c r="AD3"/>
      <c r="AE3"/>
      <c r="AF3"/>
      <c r="AG3"/>
      <c r="AH3"/>
      <c r="AI3"/>
      <c r="AJ3"/>
      <c r="AK3"/>
      <c r="AL3"/>
      <c r="AM3"/>
      <c r="AN3"/>
    </row>
    <row r="4" spans="1:40" x14ac:dyDescent="0.25">
      <c r="U4"/>
      <c r="V4"/>
      <c r="W4"/>
      <c r="X4"/>
      <c r="Y4"/>
      <c r="Z4"/>
      <c r="AA4"/>
      <c r="AB4"/>
      <c r="AC4"/>
      <c r="AD4"/>
      <c r="AE4"/>
      <c r="AF4"/>
      <c r="AG4"/>
      <c r="AH4"/>
      <c r="AI4"/>
      <c r="AJ4"/>
      <c r="AK4"/>
      <c r="AL4"/>
      <c r="AM4"/>
      <c r="AN4"/>
    </row>
    <row r="5" spans="1:40" x14ac:dyDescent="0.25">
      <c r="U5"/>
      <c r="V5"/>
      <c r="W5"/>
      <c r="X5"/>
      <c r="Y5"/>
      <c r="Z5"/>
      <c r="AA5"/>
      <c r="AB5"/>
      <c r="AC5"/>
      <c r="AD5"/>
      <c r="AE5"/>
      <c r="AF5"/>
      <c r="AG5"/>
      <c r="AH5"/>
      <c r="AI5"/>
      <c r="AJ5"/>
      <c r="AK5"/>
      <c r="AL5"/>
      <c r="AM5"/>
      <c r="AN5"/>
    </row>
    <row r="6" spans="1:40" ht="18.75" x14ac:dyDescent="0.25">
      <c r="A6" s="462" t="s">
        <v>133</v>
      </c>
      <c r="B6" s="462"/>
      <c r="C6" s="462"/>
      <c r="D6" s="462"/>
      <c r="E6" s="462"/>
      <c r="F6" s="462"/>
      <c r="G6" s="462"/>
      <c r="H6" s="462"/>
      <c r="I6" s="462"/>
      <c r="J6" s="462"/>
      <c r="K6" s="462"/>
      <c r="L6" s="462"/>
      <c r="M6" s="462"/>
      <c r="N6" s="462"/>
      <c r="O6" s="462"/>
      <c r="P6" s="462"/>
      <c r="Q6" s="462"/>
      <c r="R6" s="462"/>
      <c r="S6" s="462"/>
      <c r="T6" s="462"/>
      <c r="U6"/>
      <c r="V6"/>
      <c r="W6"/>
      <c r="X6"/>
      <c r="Y6"/>
      <c r="Z6"/>
      <c r="AA6"/>
      <c r="AB6"/>
      <c r="AC6"/>
      <c r="AD6"/>
      <c r="AE6"/>
      <c r="AF6"/>
      <c r="AG6"/>
      <c r="AH6"/>
      <c r="AI6"/>
      <c r="AJ6"/>
      <c r="AK6"/>
      <c r="AL6"/>
      <c r="AM6"/>
      <c r="AN6"/>
    </row>
    <row r="7" spans="1:40" ht="15.75" x14ac:dyDescent="0.25">
      <c r="A7" s="463" t="str">
        <f>"No. "&amp;'Dash Board'!D18</f>
        <v>No. 03-2026-FORC-0087</v>
      </c>
      <c r="B7" s="463"/>
      <c r="C7" s="463"/>
      <c r="D7" s="463"/>
      <c r="E7" s="463"/>
      <c r="F7" s="463"/>
      <c r="G7" s="463"/>
      <c r="H7" s="463"/>
      <c r="I7" s="463"/>
      <c r="J7" s="463"/>
      <c r="K7" s="463"/>
      <c r="L7" s="463"/>
      <c r="M7" s="463"/>
      <c r="N7" s="463"/>
      <c r="O7" s="463"/>
      <c r="P7" s="463"/>
      <c r="Q7" s="463"/>
      <c r="R7" s="463"/>
      <c r="S7" s="463"/>
      <c r="T7" s="463"/>
      <c r="U7"/>
      <c r="V7"/>
      <c r="W7"/>
      <c r="X7"/>
      <c r="Y7"/>
      <c r="Z7"/>
      <c r="AA7"/>
      <c r="AB7"/>
      <c r="AC7"/>
      <c r="AD7"/>
      <c r="AE7"/>
      <c r="AF7"/>
      <c r="AG7"/>
      <c r="AH7"/>
      <c r="AI7"/>
      <c r="AJ7"/>
      <c r="AK7"/>
      <c r="AL7"/>
      <c r="AM7"/>
      <c r="AN7"/>
    </row>
    <row r="8" spans="1:40" ht="15" customHeight="1" x14ac:dyDescent="0.25">
      <c r="U8"/>
      <c r="V8"/>
      <c r="W8"/>
      <c r="X8"/>
      <c r="Y8"/>
      <c r="Z8"/>
      <c r="AA8"/>
      <c r="AB8"/>
      <c r="AC8"/>
      <c r="AD8"/>
      <c r="AE8"/>
      <c r="AF8"/>
      <c r="AG8"/>
      <c r="AH8"/>
      <c r="AI8"/>
      <c r="AJ8"/>
      <c r="AK8"/>
      <c r="AL8"/>
      <c r="AM8"/>
      <c r="AN8"/>
    </row>
    <row r="9" spans="1:40" ht="15.75" x14ac:dyDescent="0.25">
      <c r="A9" s="331" t="s">
        <v>43</v>
      </c>
      <c r="B9" s="332"/>
      <c r="C9" s="332"/>
      <c r="D9" s="332"/>
      <c r="E9" s="331"/>
      <c r="F9" s="331"/>
      <c r="G9" s="333" t="s">
        <v>134</v>
      </c>
      <c r="H9" s="461">
        <f>'Dash Board'!D17</f>
        <v>46134</v>
      </c>
      <c r="I9" s="461"/>
      <c r="J9" s="461"/>
      <c r="K9" s="461"/>
      <c r="L9" s="461"/>
      <c r="M9" s="461"/>
      <c r="N9" s="461"/>
      <c r="O9" s="461"/>
      <c r="P9" s="461"/>
      <c r="Q9" s="461"/>
      <c r="R9" s="461"/>
      <c r="S9" s="461"/>
      <c r="T9" s="461"/>
      <c r="U9"/>
      <c r="V9"/>
      <c r="W9"/>
      <c r="X9"/>
      <c r="Y9"/>
      <c r="Z9"/>
      <c r="AA9"/>
      <c r="AB9"/>
      <c r="AC9"/>
      <c r="AD9"/>
      <c r="AE9"/>
      <c r="AF9"/>
      <c r="AG9"/>
      <c r="AH9"/>
      <c r="AI9"/>
      <c r="AJ9"/>
      <c r="AK9"/>
      <c r="AL9"/>
      <c r="AM9"/>
      <c r="AN9"/>
    </row>
    <row r="10" spans="1:40" ht="15.75" x14ac:dyDescent="0.25">
      <c r="A10" s="331" t="s">
        <v>41</v>
      </c>
      <c r="B10" s="332"/>
      <c r="C10" s="332"/>
      <c r="D10" s="332"/>
      <c r="E10" s="331"/>
      <c r="F10" s="331"/>
      <c r="G10" s="333" t="s">
        <v>134</v>
      </c>
      <c r="H10" s="461" t="str">
        <f>'Dash Board'!D19&amp;IF('Dash Board'!D20&lt;&gt;""," ("&amp;'Dash Board'!D20&amp;")","")</f>
        <v>Axle Weighing Scale</v>
      </c>
      <c r="I10" s="461"/>
      <c r="J10" s="461"/>
      <c r="K10" s="461"/>
      <c r="L10" s="461"/>
      <c r="M10" s="461"/>
      <c r="N10" s="461"/>
      <c r="O10" s="461"/>
      <c r="P10" s="461"/>
      <c r="Q10" s="461"/>
      <c r="R10" s="461"/>
      <c r="S10" s="461"/>
      <c r="T10" s="461"/>
      <c r="U10"/>
      <c r="V10"/>
      <c r="W10"/>
      <c r="X10"/>
      <c r="Y10"/>
      <c r="Z10"/>
      <c r="AA10"/>
      <c r="AB10"/>
      <c r="AC10"/>
      <c r="AD10"/>
      <c r="AE10"/>
      <c r="AF10"/>
      <c r="AG10"/>
      <c r="AH10"/>
      <c r="AI10"/>
      <c r="AJ10"/>
      <c r="AK10"/>
      <c r="AL10"/>
      <c r="AM10"/>
      <c r="AN10"/>
    </row>
    <row r="11" spans="1:40" ht="15.75" x14ac:dyDescent="0.25">
      <c r="A11" s="332"/>
      <c r="B11" s="331" t="s">
        <v>49</v>
      </c>
      <c r="C11" s="332"/>
      <c r="D11" s="332"/>
      <c r="E11" s="332"/>
      <c r="F11" s="331"/>
      <c r="G11" s="333" t="s">
        <v>134</v>
      </c>
      <c r="H11" s="461" t="str">
        <f>Data!K6</f>
        <v>100 tf</v>
      </c>
      <c r="I11" s="461"/>
      <c r="J11" s="461"/>
      <c r="K11" s="461"/>
      <c r="L11" s="461"/>
      <c r="M11" s="461"/>
      <c r="N11" s="461"/>
      <c r="O11" s="461"/>
      <c r="P11" s="461"/>
      <c r="Q11" s="461"/>
      <c r="R11" s="461"/>
      <c r="S11" s="461"/>
      <c r="T11" s="461"/>
      <c r="U11"/>
      <c r="V11"/>
      <c r="W11"/>
      <c r="X11"/>
      <c r="Y11"/>
      <c r="Z11"/>
      <c r="AA11"/>
      <c r="AB11"/>
      <c r="AC11"/>
      <c r="AD11"/>
      <c r="AE11"/>
      <c r="AF11"/>
      <c r="AG11"/>
      <c r="AH11"/>
      <c r="AI11"/>
      <c r="AJ11"/>
      <c r="AK11"/>
      <c r="AL11"/>
      <c r="AM11"/>
      <c r="AN11"/>
    </row>
    <row r="12" spans="1:40" ht="15.75" x14ac:dyDescent="0.25">
      <c r="A12" s="332"/>
      <c r="B12" s="331" t="s">
        <v>135</v>
      </c>
      <c r="C12" s="332"/>
      <c r="D12" s="332"/>
      <c r="E12" s="332"/>
      <c r="F12" s="331"/>
      <c r="G12" s="333" t="s">
        <v>134</v>
      </c>
      <c r="H12" s="461" t="str">
        <f>Data!K7</f>
        <v>- -</v>
      </c>
      <c r="I12" s="461"/>
      <c r="J12" s="461"/>
      <c r="K12" s="461"/>
      <c r="L12" s="461"/>
      <c r="M12" s="461"/>
      <c r="N12" s="461"/>
      <c r="O12" s="461"/>
      <c r="P12" s="461"/>
      <c r="Q12" s="461"/>
      <c r="R12" s="461"/>
      <c r="S12" s="461"/>
      <c r="T12" s="461"/>
      <c r="U12"/>
      <c r="V12"/>
      <c r="W12"/>
      <c r="X12"/>
      <c r="Y12"/>
      <c r="Z12"/>
      <c r="AA12"/>
      <c r="AB12"/>
      <c r="AC12"/>
      <c r="AD12"/>
      <c r="AE12"/>
      <c r="AF12"/>
      <c r="AG12"/>
      <c r="AH12"/>
      <c r="AI12"/>
      <c r="AJ12"/>
      <c r="AK12"/>
      <c r="AL12"/>
      <c r="AM12"/>
      <c r="AN12"/>
    </row>
    <row r="13" spans="1:40" ht="15.75" x14ac:dyDescent="0.25">
      <c r="A13" s="332"/>
      <c r="B13" s="331" t="str">
        <f>'Dash Board'!K21</f>
        <v>Resolution                           :</v>
      </c>
      <c r="C13" s="332"/>
      <c r="D13" s="332"/>
      <c r="E13" s="332"/>
      <c r="F13" s="331"/>
      <c r="G13" s="333" t="s">
        <v>134</v>
      </c>
      <c r="H13" s="461" t="str">
        <f>Data!K10</f>
        <v>- -</v>
      </c>
      <c r="I13" s="461"/>
      <c r="J13" s="461"/>
      <c r="K13" s="461"/>
      <c r="L13" s="461"/>
      <c r="M13" s="461"/>
      <c r="N13" s="461"/>
      <c r="O13" s="461"/>
      <c r="P13" s="461"/>
      <c r="Q13" s="461"/>
      <c r="R13" s="461"/>
      <c r="S13" s="461"/>
      <c r="T13" s="461"/>
      <c r="U13"/>
      <c r="V13"/>
      <c r="W13"/>
      <c r="X13"/>
      <c r="Y13"/>
      <c r="Z13"/>
      <c r="AA13"/>
      <c r="AB13"/>
      <c r="AC13"/>
      <c r="AD13"/>
      <c r="AE13"/>
      <c r="AF13"/>
      <c r="AG13"/>
      <c r="AH13"/>
      <c r="AI13"/>
      <c r="AJ13"/>
      <c r="AK13"/>
      <c r="AL13"/>
      <c r="AM13"/>
      <c r="AN13"/>
    </row>
    <row r="14" spans="1:40" ht="15.75" x14ac:dyDescent="0.25">
      <c r="A14" s="332"/>
      <c r="B14" s="331" t="s">
        <v>54</v>
      </c>
      <c r="C14" s="332"/>
      <c r="D14" s="332"/>
      <c r="E14" s="332"/>
      <c r="F14" s="331"/>
      <c r="G14" s="333" t="s">
        <v>134</v>
      </c>
      <c r="H14" s="461" t="str">
        <f>IF('Dash Board'!D21="Yes",'Dash Board'!D23&amp;" (Load Cell); "&amp;'Dash Board'!D26&amp;" (Indicator)",'Dash Board'!D23&amp;"; "&amp;'Dash Board'!D26&amp;" ")</f>
        <v xml:space="preserve">LS 630 W. PAD; INTERCOMP PT20 </v>
      </c>
      <c r="I14" s="461"/>
      <c r="J14" s="461"/>
      <c r="K14" s="461"/>
      <c r="L14" s="461"/>
      <c r="M14" s="461"/>
      <c r="N14" s="461"/>
      <c r="O14" s="461"/>
      <c r="P14" s="461"/>
      <c r="Q14" s="461"/>
      <c r="R14" s="461"/>
      <c r="S14" s="461"/>
      <c r="T14" s="461"/>
      <c r="U14"/>
      <c r="V14"/>
      <c r="W14"/>
      <c r="X14"/>
      <c r="Y14"/>
      <c r="Z14"/>
      <c r="AA14"/>
      <c r="AB14"/>
      <c r="AC14"/>
      <c r="AD14"/>
      <c r="AE14"/>
      <c r="AF14"/>
      <c r="AG14"/>
      <c r="AH14"/>
      <c r="AI14"/>
      <c r="AJ14"/>
      <c r="AK14"/>
      <c r="AL14"/>
      <c r="AM14"/>
      <c r="AN14"/>
    </row>
    <row r="15" spans="1:40" ht="15.75" x14ac:dyDescent="0.25">
      <c r="A15" s="332"/>
      <c r="B15" s="331" t="s">
        <v>119</v>
      </c>
      <c r="C15" s="332"/>
      <c r="D15" s="332"/>
      <c r="E15" s="332"/>
      <c r="F15" s="332"/>
      <c r="G15" s="333" t="s">
        <v>134</v>
      </c>
      <c r="H15" s="461" t="str">
        <f>IF('Dash Board'!D21="Yes",'Dash Board'!D24&amp;" (Load Cell)"&amp;'Dash Board'!D27&amp;" (Indicator)",IF('Dash Board'!D26&lt;&gt;"",'Dash Board'!D24&amp;"; "&amp;'Dash Board'!D27&amp;" (Indicator)",'Dash Board'!D24))</f>
        <v>0122YL21002; 0307YM23003 (Indicator)</v>
      </c>
      <c r="I15" s="461"/>
      <c r="J15" s="461"/>
      <c r="K15" s="461"/>
      <c r="L15" s="461"/>
      <c r="M15" s="461"/>
      <c r="N15" s="461"/>
      <c r="O15" s="461"/>
      <c r="P15" s="461"/>
      <c r="Q15" s="461"/>
      <c r="R15" s="461"/>
      <c r="S15" s="461"/>
      <c r="T15" s="461"/>
      <c r="U15"/>
      <c r="V15"/>
      <c r="W15"/>
      <c r="X15"/>
      <c r="Y15"/>
      <c r="Z15"/>
      <c r="AA15"/>
      <c r="AB15"/>
      <c r="AC15"/>
      <c r="AD15"/>
      <c r="AE15"/>
      <c r="AF15"/>
      <c r="AG15"/>
      <c r="AH15"/>
      <c r="AI15"/>
      <c r="AJ15"/>
      <c r="AK15"/>
      <c r="AL15"/>
      <c r="AM15"/>
      <c r="AN15"/>
    </row>
    <row r="16" spans="1:40" ht="15.6" hidden="1" customHeight="1" x14ac:dyDescent="0.25">
      <c r="A16" s="332"/>
      <c r="B16" s="331"/>
      <c r="C16" s="332"/>
      <c r="D16" s="332"/>
      <c r="E16" s="332"/>
      <c r="F16" s="332"/>
      <c r="G16" s="333"/>
      <c r="H16" s="337" t="str">
        <f>Software!O21&amp; " (Indicator)"</f>
        <v xml:space="preserve"> (Indicator)</v>
      </c>
      <c r="I16" s="437"/>
      <c r="J16" s="437"/>
      <c r="K16" s="336"/>
      <c r="L16" s="336"/>
      <c r="M16" s="336"/>
      <c r="N16" s="336"/>
      <c r="O16" s="336"/>
      <c r="P16" s="336"/>
      <c r="Q16" s="336"/>
      <c r="R16" s="336"/>
      <c r="S16" s="336"/>
      <c r="T16" s="336"/>
      <c r="U16"/>
      <c r="V16"/>
      <c r="W16"/>
      <c r="X16"/>
      <c r="Y16"/>
      <c r="Z16"/>
      <c r="AA16"/>
      <c r="AB16"/>
      <c r="AC16"/>
      <c r="AD16"/>
      <c r="AE16"/>
      <c r="AF16"/>
      <c r="AG16"/>
      <c r="AH16"/>
      <c r="AI16"/>
      <c r="AJ16"/>
      <c r="AK16"/>
      <c r="AL16"/>
      <c r="AM16"/>
      <c r="AN16"/>
    </row>
    <row r="17" spans="1:40" ht="16.899999999999999" customHeight="1" x14ac:dyDescent="0.25">
      <c r="A17" s="331" t="s">
        <v>136</v>
      </c>
      <c r="B17" s="332"/>
      <c r="C17" s="332"/>
      <c r="D17" s="332"/>
      <c r="E17" s="331"/>
      <c r="F17" s="331"/>
      <c r="G17" s="333" t="s">
        <v>134</v>
      </c>
      <c r="H17" s="461" t="str">
        <f>UPPER('Dash Board'!D7)</f>
        <v>SAVVICE CORPORATION</v>
      </c>
      <c r="I17" s="461"/>
      <c r="J17" s="461"/>
      <c r="K17" s="461"/>
      <c r="L17" s="461"/>
      <c r="M17" s="461"/>
      <c r="N17" s="461"/>
      <c r="O17" s="461"/>
      <c r="P17" s="461"/>
      <c r="Q17" s="461"/>
      <c r="R17" s="461"/>
      <c r="S17" s="461"/>
      <c r="T17" s="461"/>
      <c r="U17"/>
      <c r="V17"/>
      <c r="W17"/>
      <c r="X17"/>
      <c r="Y17"/>
      <c r="Z17"/>
      <c r="AA17"/>
      <c r="AB17"/>
      <c r="AC17"/>
      <c r="AD17"/>
      <c r="AE17"/>
      <c r="AF17"/>
      <c r="AG17"/>
      <c r="AH17"/>
      <c r="AI17"/>
      <c r="AJ17"/>
      <c r="AK17"/>
      <c r="AL17"/>
      <c r="AM17"/>
      <c r="AN17"/>
    </row>
    <row r="18" spans="1:40" ht="16.5" customHeight="1" x14ac:dyDescent="0.25">
      <c r="A18" s="332"/>
      <c r="B18" s="332"/>
      <c r="C18" s="331"/>
      <c r="D18" s="331"/>
      <c r="E18" s="331"/>
      <c r="F18" s="331"/>
      <c r="G18" s="331"/>
      <c r="H18" s="461" t="str">
        <f>'Dash Board'!D8</f>
        <v>3rd Floor BMWC Bldg., Cagayan Valley Road</v>
      </c>
      <c r="I18" s="461"/>
      <c r="J18" s="461"/>
      <c r="K18" s="461"/>
      <c r="L18" s="461"/>
      <c r="M18" s="461"/>
      <c r="N18" s="461"/>
      <c r="O18" s="461"/>
      <c r="P18" s="461"/>
      <c r="Q18" s="461"/>
      <c r="R18" s="461"/>
      <c r="S18" s="461"/>
      <c r="T18" s="461"/>
      <c r="U18"/>
      <c r="V18"/>
      <c r="W18"/>
      <c r="X18"/>
      <c r="Y18"/>
      <c r="Z18"/>
      <c r="AA18"/>
      <c r="AB18"/>
      <c r="AC18"/>
      <c r="AD18"/>
      <c r="AE18"/>
      <c r="AF18"/>
      <c r="AG18"/>
      <c r="AH18"/>
      <c r="AI18"/>
      <c r="AJ18"/>
      <c r="AK18"/>
      <c r="AL18"/>
      <c r="AM18"/>
      <c r="AN18"/>
    </row>
    <row r="19" spans="1:40" ht="16.5" customHeight="1" x14ac:dyDescent="0.25">
      <c r="A19" s="342"/>
      <c r="B19" s="342"/>
      <c r="C19" s="335"/>
      <c r="D19" s="335"/>
      <c r="E19" s="335"/>
      <c r="F19" s="335"/>
      <c r="G19" s="335"/>
      <c r="H19" s="461" t="str">
        <f>IF('Dash Board'!D9&lt;&gt;0,'Dash Board'!D9,"")</f>
        <v>Sta. Rita, Guiginto, Bulacan</v>
      </c>
      <c r="I19" s="461"/>
      <c r="J19" s="461"/>
      <c r="K19" s="461"/>
      <c r="L19" s="461"/>
      <c r="M19" s="461"/>
      <c r="N19" s="461"/>
      <c r="O19" s="461"/>
      <c r="P19" s="461"/>
      <c r="Q19" s="461"/>
      <c r="R19" s="461"/>
      <c r="S19" s="461"/>
      <c r="T19" s="461"/>
      <c r="U19"/>
      <c r="V19"/>
      <c r="W19"/>
      <c r="X19"/>
      <c r="Y19"/>
      <c r="Z19"/>
      <c r="AA19"/>
      <c r="AB19"/>
      <c r="AC19"/>
      <c r="AD19"/>
      <c r="AE19"/>
      <c r="AF19"/>
      <c r="AG19"/>
      <c r="AH19"/>
      <c r="AI19"/>
      <c r="AJ19"/>
      <c r="AK19"/>
      <c r="AL19"/>
      <c r="AM19"/>
      <c r="AN19"/>
    </row>
    <row r="20" spans="1:40" ht="34.5" customHeight="1" x14ac:dyDescent="0.25">
      <c r="B20" s="342"/>
      <c r="C20" s="335"/>
      <c r="D20" s="335"/>
      <c r="E20" s="335"/>
      <c r="F20" s="335"/>
      <c r="G20" s="335"/>
      <c r="H20" s="335"/>
      <c r="I20" s="343"/>
      <c r="J20" s="344"/>
      <c r="K20" s="343"/>
      <c r="L20" s="343"/>
      <c r="M20" s="343"/>
      <c r="N20" s="343"/>
      <c r="O20" s="343"/>
      <c r="P20" s="343"/>
      <c r="Q20" s="343"/>
      <c r="R20" s="343"/>
      <c r="S20" s="343"/>
      <c r="T20" s="343"/>
      <c r="U20"/>
      <c r="V20"/>
      <c r="W20"/>
      <c r="X20"/>
      <c r="Y20"/>
      <c r="Z20"/>
      <c r="AA20"/>
      <c r="AB20"/>
      <c r="AC20"/>
      <c r="AD20"/>
      <c r="AE20"/>
      <c r="AF20"/>
      <c r="AG20"/>
      <c r="AH20"/>
      <c r="AI20"/>
      <c r="AJ20"/>
      <c r="AK20"/>
      <c r="AL20"/>
      <c r="AM20"/>
      <c r="AN20"/>
    </row>
    <row r="21" spans="1:40" ht="15.75" x14ac:dyDescent="0.25">
      <c r="A21" s="335" t="s">
        <v>137</v>
      </c>
      <c r="B21" s="342"/>
      <c r="D21" s="342"/>
      <c r="E21" s="335"/>
      <c r="F21" s="335"/>
      <c r="G21" s="335"/>
      <c r="H21" s="335"/>
      <c r="I21" s="335"/>
      <c r="J21" s="335"/>
      <c r="K21" s="335"/>
      <c r="L21" s="335"/>
      <c r="M21" s="335"/>
      <c r="N21" s="335"/>
      <c r="O21" s="335"/>
      <c r="P21" s="335"/>
      <c r="Q21" s="335"/>
      <c r="R21" s="335"/>
      <c r="S21" s="335"/>
      <c r="T21" s="335"/>
      <c r="U21"/>
      <c r="V21"/>
      <c r="W21"/>
      <c r="X21"/>
      <c r="Y21"/>
      <c r="Z21"/>
      <c r="AA21"/>
      <c r="AB21"/>
      <c r="AC21"/>
      <c r="AD21"/>
      <c r="AE21"/>
      <c r="AF21"/>
      <c r="AG21"/>
      <c r="AH21"/>
      <c r="AI21"/>
      <c r="AJ21"/>
      <c r="AK21"/>
      <c r="AL21"/>
      <c r="AM21"/>
      <c r="AN21"/>
    </row>
    <row r="22" spans="1:40" ht="21" customHeight="1" x14ac:dyDescent="0.25">
      <c r="A22" s="335"/>
      <c r="B22" s="342"/>
      <c r="D22" s="342"/>
      <c r="E22" s="335"/>
      <c r="F22" s="335"/>
      <c r="G22" s="335"/>
      <c r="H22" s="335"/>
      <c r="I22" s="335"/>
      <c r="J22" s="335"/>
      <c r="K22" s="335"/>
      <c r="L22" s="335"/>
      <c r="M22" s="335"/>
      <c r="N22" s="335"/>
      <c r="O22" s="335"/>
      <c r="P22" s="335"/>
      <c r="Q22" s="335"/>
      <c r="R22" s="335"/>
      <c r="S22" s="335"/>
      <c r="T22" s="335"/>
      <c r="U22"/>
      <c r="V22"/>
      <c r="W22"/>
      <c r="X22"/>
      <c r="Y22"/>
      <c r="Z22"/>
      <c r="AA22"/>
      <c r="AB22"/>
      <c r="AC22"/>
      <c r="AD22"/>
      <c r="AE22"/>
      <c r="AF22"/>
      <c r="AG22"/>
      <c r="AH22"/>
      <c r="AI22"/>
      <c r="AJ22"/>
      <c r="AK22"/>
      <c r="AL22"/>
      <c r="AM22"/>
      <c r="AN22"/>
    </row>
    <row r="23" spans="1:40" ht="51.6" customHeight="1" x14ac:dyDescent="0.25">
      <c r="A23" s="438"/>
      <c r="C23" s="459" t="s">
        <v>396</v>
      </c>
      <c r="D23" s="459"/>
      <c r="E23" s="459"/>
      <c r="F23" s="459"/>
      <c r="G23" s="459" t="s">
        <v>397</v>
      </c>
      <c r="H23" s="459"/>
      <c r="I23" s="459"/>
      <c r="J23" s="459" t="s">
        <v>398</v>
      </c>
      <c r="K23" s="459"/>
      <c r="L23" s="459" t="s">
        <v>385</v>
      </c>
      <c r="M23" s="459"/>
      <c r="N23" s="459"/>
      <c r="O23" s="459"/>
      <c r="P23" s="459" t="s">
        <v>386</v>
      </c>
      <c r="Q23" s="459"/>
      <c r="R23" s="459"/>
      <c r="S23" s="335"/>
      <c r="T23" s="335"/>
      <c r="U23"/>
      <c r="V23"/>
      <c r="W23"/>
      <c r="X23"/>
      <c r="Y23"/>
      <c r="Z23"/>
      <c r="AA23"/>
      <c r="AB23"/>
      <c r="AC23"/>
      <c r="AD23"/>
      <c r="AE23"/>
      <c r="AF23"/>
      <c r="AG23"/>
      <c r="AH23"/>
      <c r="AI23"/>
      <c r="AJ23"/>
      <c r="AK23"/>
      <c r="AL23"/>
      <c r="AM23"/>
      <c r="AN23"/>
    </row>
    <row r="24" spans="1:40" ht="24" customHeight="1" x14ac:dyDescent="0.25">
      <c r="A24" s="352"/>
      <c r="B24" s="439"/>
      <c r="C24" s="456" t="s">
        <v>3</v>
      </c>
      <c r="D24" s="456"/>
      <c r="E24" s="456"/>
      <c r="F24" s="460"/>
      <c r="G24" s="456" t="s">
        <v>3</v>
      </c>
      <c r="H24" s="456"/>
      <c r="I24" s="456"/>
      <c r="J24" s="456" t="s">
        <v>3</v>
      </c>
      <c r="K24" s="456"/>
      <c r="L24" s="456" t="s">
        <v>259</v>
      </c>
      <c r="M24" s="456"/>
      <c r="N24" s="456"/>
      <c r="O24" s="456"/>
      <c r="P24" s="459" t="s">
        <v>259</v>
      </c>
      <c r="Q24" s="459"/>
      <c r="R24" s="459"/>
      <c r="U24"/>
      <c r="V24"/>
      <c r="W24"/>
      <c r="X24"/>
      <c r="Y24"/>
      <c r="Z24"/>
      <c r="AA24"/>
      <c r="AB24"/>
      <c r="AC24"/>
      <c r="AD24"/>
      <c r="AE24"/>
      <c r="AF24"/>
      <c r="AG24"/>
      <c r="AH24"/>
      <c r="AI24"/>
      <c r="AJ24"/>
      <c r="AK24"/>
      <c r="AL24"/>
      <c r="AM24"/>
      <c r="AN24"/>
    </row>
    <row r="25" spans="1:40" ht="24" customHeight="1" x14ac:dyDescent="0.25">
      <c r="A25" s="352"/>
      <c r="B25" s="352"/>
      <c r="C25" s="457">
        <v>0</v>
      </c>
      <c r="D25" s="457"/>
      <c r="E25" s="457"/>
      <c r="F25" s="457"/>
      <c r="G25" s="457">
        <v>0</v>
      </c>
      <c r="H25" s="457"/>
      <c r="I25" s="457"/>
      <c r="J25" s="456">
        <v>0</v>
      </c>
      <c r="K25" s="456"/>
      <c r="L25" s="457" t="str">
        <f>Data!I89</f>
        <v>- -</v>
      </c>
      <c r="M25" s="457"/>
      <c r="N25" s="457"/>
      <c r="O25" s="457"/>
      <c r="P25" s="458" t="str">
        <f>Data!J89</f>
        <v>- -</v>
      </c>
      <c r="Q25" s="458"/>
      <c r="R25" s="458"/>
      <c r="U25"/>
      <c r="V25"/>
      <c r="W25"/>
      <c r="X25"/>
      <c r="Y25"/>
      <c r="Z25"/>
      <c r="AA25"/>
      <c r="AB25"/>
      <c r="AC25"/>
      <c r="AD25"/>
      <c r="AE25"/>
      <c r="AF25"/>
      <c r="AG25"/>
      <c r="AH25"/>
      <c r="AI25"/>
      <c r="AJ25"/>
      <c r="AK25"/>
      <c r="AL25"/>
      <c r="AM25"/>
      <c r="AN25"/>
    </row>
    <row r="26" spans="1:40" ht="24" customHeight="1" x14ac:dyDescent="0.25">
      <c r="A26" s="352"/>
      <c r="B26" s="352"/>
      <c r="C26" s="455" t="str">
        <f>Data!C26</f>
        <v>- -</v>
      </c>
      <c r="D26" s="455"/>
      <c r="E26" s="455"/>
      <c r="F26" s="455"/>
      <c r="G26" s="455" t="str">
        <f>Data!L26</f>
        <v>- -</v>
      </c>
      <c r="H26" s="455"/>
      <c r="I26" s="455"/>
      <c r="J26" s="456" t="e">
        <f>G26-C26</f>
        <v>#VALUE!</v>
      </c>
      <c r="K26" s="456"/>
      <c r="L26" s="457" t="str">
        <f>Data!I90</f>
        <v>- -</v>
      </c>
      <c r="M26" s="457"/>
      <c r="N26" s="457"/>
      <c r="O26" s="457"/>
      <c r="P26" s="458" t="str">
        <f>Data!J90</f>
        <v>- -</v>
      </c>
      <c r="Q26" s="458"/>
      <c r="R26" s="458"/>
      <c r="U26"/>
      <c r="V26"/>
      <c r="W26"/>
      <c r="X26"/>
      <c r="Y26"/>
      <c r="Z26"/>
      <c r="AA26"/>
      <c r="AB26"/>
      <c r="AC26"/>
      <c r="AD26"/>
      <c r="AE26"/>
      <c r="AF26"/>
      <c r="AG26"/>
      <c r="AH26"/>
      <c r="AI26"/>
      <c r="AJ26"/>
      <c r="AK26"/>
      <c r="AL26"/>
      <c r="AM26"/>
      <c r="AN26"/>
    </row>
    <row r="27" spans="1:40" ht="24" customHeight="1" x14ac:dyDescent="0.25">
      <c r="A27" s="352"/>
      <c r="B27" s="352"/>
      <c r="C27" s="455" t="str">
        <f>Data!C27</f>
        <v>- -</v>
      </c>
      <c r="D27" s="455"/>
      <c r="E27" s="455"/>
      <c r="F27" s="455"/>
      <c r="G27" s="455" t="str">
        <f>Data!L27</f>
        <v>- -</v>
      </c>
      <c r="H27" s="455"/>
      <c r="I27" s="455"/>
      <c r="J27" s="456" t="e">
        <f t="shared" ref="J27:J30" si="0">G27-C27</f>
        <v>#VALUE!</v>
      </c>
      <c r="K27" s="456"/>
      <c r="L27" s="457" t="str">
        <f>Data!I91</f>
        <v>- -</v>
      </c>
      <c r="M27" s="457"/>
      <c r="N27" s="457"/>
      <c r="O27" s="457"/>
      <c r="P27" s="458" t="str">
        <f>Data!J91</f>
        <v>- -</v>
      </c>
      <c r="Q27" s="458"/>
      <c r="R27" s="458"/>
      <c r="U27"/>
      <c r="V27"/>
      <c r="W27"/>
      <c r="X27"/>
      <c r="Y27"/>
      <c r="Z27"/>
      <c r="AA27"/>
      <c r="AB27"/>
      <c r="AC27"/>
      <c r="AD27"/>
      <c r="AE27"/>
      <c r="AF27"/>
      <c r="AG27"/>
      <c r="AH27"/>
      <c r="AI27"/>
      <c r="AJ27"/>
      <c r="AK27"/>
      <c r="AL27"/>
      <c r="AM27"/>
      <c r="AN27"/>
    </row>
    <row r="28" spans="1:40" ht="24" customHeight="1" x14ac:dyDescent="0.25">
      <c r="A28" s="352"/>
      <c r="B28" s="352"/>
      <c r="C28" s="455" t="str">
        <f>Data!C28</f>
        <v>- -</v>
      </c>
      <c r="D28" s="455"/>
      <c r="E28" s="455"/>
      <c r="F28" s="455"/>
      <c r="G28" s="455" t="str">
        <f>Data!L28</f>
        <v>- -</v>
      </c>
      <c r="H28" s="455"/>
      <c r="I28" s="455"/>
      <c r="J28" s="456" t="e">
        <f t="shared" si="0"/>
        <v>#VALUE!</v>
      </c>
      <c r="K28" s="456"/>
      <c r="L28" s="457" t="str">
        <f>Data!I92</f>
        <v>- -</v>
      </c>
      <c r="M28" s="457"/>
      <c r="N28" s="457"/>
      <c r="O28" s="457"/>
      <c r="P28" s="458" t="str">
        <f>Data!J92</f>
        <v>- -</v>
      </c>
      <c r="Q28" s="458"/>
      <c r="R28" s="458"/>
      <c r="U28"/>
      <c r="V28"/>
      <c r="W28"/>
      <c r="X28"/>
      <c r="Y28"/>
      <c r="Z28"/>
      <c r="AA28"/>
      <c r="AB28"/>
      <c r="AC28"/>
      <c r="AD28"/>
      <c r="AE28"/>
      <c r="AF28"/>
      <c r="AG28"/>
      <c r="AH28"/>
      <c r="AI28"/>
      <c r="AJ28"/>
      <c r="AK28"/>
      <c r="AL28"/>
      <c r="AM28"/>
      <c r="AN28"/>
    </row>
    <row r="29" spans="1:40" ht="24" customHeight="1" x14ac:dyDescent="0.25">
      <c r="A29" s="352"/>
      <c r="B29" s="352"/>
      <c r="C29" s="455" t="str">
        <f>Data!C29</f>
        <v>- -</v>
      </c>
      <c r="D29" s="455"/>
      <c r="E29" s="455"/>
      <c r="F29" s="455"/>
      <c r="G29" s="455" t="str">
        <f>Data!L29</f>
        <v>- -</v>
      </c>
      <c r="H29" s="455"/>
      <c r="I29" s="455"/>
      <c r="J29" s="456" t="e">
        <f t="shared" si="0"/>
        <v>#VALUE!</v>
      </c>
      <c r="K29" s="456"/>
      <c r="L29" s="457" t="str">
        <f>Data!I93</f>
        <v>- -</v>
      </c>
      <c r="M29" s="457"/>
      <c r="N29" s="457"/>
      <c r="O29" s="457"/>
      <c r="P29" s="458" t="str">
        <f>Data!J93</f>
        <v>- -</v>
      </c>
      <c r="Q29" s="458"/>
      <c r="R29" s="458"/>
      <c r="U29"/>
      <c r="V29"/>
      <c r="W29"/>
      <c r="X29"/>
      <c r="Y29"/>
      <c r="Z29"/>
      <c r="AA29"/>
      <c r="AB29"/>
      <c r="AC29"/>
      <c r="AD29"/>
      <c r="AE29"/>
      <c r="AF29"/>
      <c r="AG29"/>
      <c r="AH29"/>
      <c r="AI29"/>
      <c r="AJ29"/>
      <c r="AK29"/>
      <c r="AL29"/>
      <c r="AM29"/>
      <c r="AN29"/>
    </row>
    <row r="30" spans="1:40" ht="24" customHeight="1" x14ac:dyDescent="0.25">
      <c r="A30" s="352"/>
      <c r="B30" s="352"/>
      <c r="C30" s="455" t="str">
        <f>Data!C30</f>
        <v>- -</v>
      </c>
      <c r="D30" s="455"/>
      <c r="E30" s="455"/>
      <c r="F30" s="455"/>
      <c r="G30" s="455" t="str">
        <f>Data!L30</f>
        <v>- -</v>
      </c>
      <c r="H30" s="455"/>
      <c r="I30" s="455"/>
      <c r="J30" s="456" t="e">
        <f t="shared" si="0"/>
        <v>#VALUE!</v>
      </c>
      <c r="K30" s="456"/>
      <c r="L30" s="457" t="str">
        <f>Data!I94</f>
        <v>- -</v>
      </c>
      <c r="M30" s="457"/>
      <c r="N30" s="457"/>
      <c r="O30" s="457"/>
      <c r="P30" s="458" t="str">
        <f>Data!J94</f>
        <v>- -</v>
      </c>
      <c r="Q30" s="458"/>
      <c r="R30" s="458"/>
      <c r="U30"/>
      <c r="V30"/>
      <c r="W30"/>
      <c r="X30"/>
      <c r="Y30"/>
      <c r="Z30"/>
      <c r="AA30"/>
      <c r="AB30"/>
      <c r="AC30"/>
      <c r="AD30"/>
      <c r="AE30"/>
      <c r="AF30"/>
      <c r="AG30"/>
      <c r="AH30"/>
      <c r="AI30"/>
      <c r="AJ30"/>
      <c r="AK30"/>
      <c r="AL30"/>
      <c r="AM30"/>
      <c r="AN30"/>
    </row>
    <row r="31" spans="1:40" ht="15" customHeight="1" x14ac:dyDescent="0.25">
      <c r="A31" s="335"/>
      <c r="B31" s="350"/>
      <c r="C31" s="452"/>
      <c r="D31" s="452"/>
      <c r="E31" s="452"/>
      <c r="F31" s="452"/>
      <c r="G31" s="350"/>
      <c r="H31" s="350"/>
      <c r="I31" s="351"/>
      <c r="J31" s="351"/>
      <c r="K31" s="352"/>
      <c r="L31" s="351"/>
      <c r="M31" s="351"/>
      <c r="N31" s="351"/>
      <c r="O31" s="353"/>
      <c r="P31" s="353"/>
      <c r="Q31" s="353"/>
      <c r="R31" s="353"/>
      <c r="U31"/>
      <c r="V31"/>
      <c r="W31"/>
      <c r="X31"/>
      <c r="Y31"/>
      <c r="Z31"/>
      <c r="AA31"/>
      <c r="AB31"/>
      <c r="AC31"/>
      <c r="AD31"/>
      <c r="AE31"/>
      <c r="AF31"/>
      <c r="AG31"/>
      <c r="AH31"/>
      <c r="AI31"/>
      <c r="AJ31"/>
      <c r="AK31"/>
      <c r="AL31"/>
      <c r="AM31"/>
      <c r="AN31"/>
    </row>
    <row r="32" spans="1:40" ht="15.75" x14ac:dyDescent="0.25">
      <c r="A32" s="335"/>
      <c r="B32" s="350"/>
      <c r="C32" s="350"/>
      <c r="D32" s="350"/>
      <c r="E32" s="350"/>
      <c r="F32" s="350"/>
      <c r="G32" s="350"/>
      <c r="H32" s="350"/>
      <c r="I32" s="351"/>
      <c r="J32" s="351"/>
      <c r="K32" s="352"/>
      <c r="L32" s="351"/>
      <c r="M32" s="351"/>
      <c r="N32" s="351"/>
      <c r="O32" s="353"/>
      <c r="P32" s="353"/>
      <c r="Q32" s="353"/>
      <c r="R32" s="353"/>
      <c r="U32"/>
      <c r="V32"/>
      <c r="W32"/>
      <c r="X32"/>
      <c r="Y32"/>
      <c r="Z32"/>
      <c r="AA32"/>
      <c r="AB32"/>
      <c r="AC32"/>
      <c r="AD32"/>
      <c r="AE32"/>
      <c r="AF32"/>
      <c r="AG32"/>
      <c r="AH32"/>
      <c r="AI32"/>
      <c r="AJ32"/>
      <c r="AK32"/>
      <c r="AL32"/>
      <c r="AM32"/>
      <c r="AN32"/>
    </row>
    <row r="33" spans="1:40" ht="15.75" x14ac:dyDescent="0.25">
      <c r="A33" s="335" t="s">
        <v>138</v>
      </c>
      <c r="B33" s="342"/>
      <c r="C33" s="335"/>
      <c r="D33" s="342"/>
      <c r="E33" s="335"/>
      <c r="F33" s="335"/>
      <c r="G33" s="335"/>
      <c r="H33" s="335"/>
      <c r="I33" s="335"/>
      <c r="J33" s="335"/>
      <c r="K33" s="335"/>
      <c r="L33" s="335"/>
      <c r="M33" s="335"/>
      <c r="N33" s="335"/>
      <c r="O33" s="335"/>
      <c r="P33" s="335"/>
      <c r="Q33" s="335"/>
      <c r="R33" s="335"/>
      <c r="U33"/>
      <c r="V33"/>
      <c r="W33"/>
      <c r="X33"/>
      <c r="Y33"/>
      <c r="Z33"/>
      <c r="AA33"/>
      <c r="AB33"/>
      <c r="AC33"/>
      <c r="AD33"/>
      <c r="AE33"/>
      <c r="AF33"/>
      <c r="AG33"/>
      <c r="AH33"/>
      <c r="AI33"/>
      <c r="AJ33"/>
      <c r="AK33"/>
      <c r="AL33"/>
      <c r="AM33"/>
      <c r="AN33"/>
    </row>
    <row r="34" spans="1:40" ht="7.15" customHeight="1" x14ac:dyDescent="0.25">
      <c r="A34" s="335"/>
      <c r="B34" s="342"/>
      <c r="C34" s="335"/>
      <c r="D34" s="342"/>
      <c r="E34" s="335"/>
      <c r="F34" s="335"/>
      <c r="G34" s="335"/>
      <c r="H34" s="335"/>
      <c r="I34" s="335"/>
      <c r="J34" s="335"/>
      <c r="K34" s="335"/>
      <c r="L34" s="335"/>
      <c r="M34" s="335"/>
      <c r="N34" s="335"/>
      <c r="O34" s="335"/>
      <c r="P34" s="335"/>
      <c r="Q34" s="335"/>
      <c r="R34" s="335"/>
      <c r="U34"/>
      <c r="V34"/>
      <c r="W34"/>
      <c r="X34"/>
      <c r="Y34"/>
      <c r="Z34"/>
      <c r="AA34"/>
      <c r="AB34"/>
      <c r="AC34"/>
      <c r="AD34"/>
      <c r="AE34"/>
      <c r="AF34"/>
      <c r="AG34"/>
      <c r="AH34"/>
      <c r="AI34"/>
      <c r="AJ34"/>
      <c r="AK34"/>
      <c r="AL34"/>
      <c r="AM34"/>
      <c r="AN34"/>
    </row>
    <row r="35" spans="1:40" ht="109.9" customHeight="1" x14ac:dyDescent="0.25">
      <c r="A35" s="445" t="s">
        <v>383</v>
      </c>
      <c r="B35" s="445"/>
      <c r="C35" s="445"/>
      <c r="D35" s="445"/>
      <c r="E35" s="445"/>
      <c r="F35" s="445"/>
      <c r="G35" s="445"/>
      <c r="H35" s="445"/>
      <c r="I35" s="445"/>
      <c r="J35" s="445"/>
      <c r="K35" s="445"/>
      <c r="L35" s="445"/>
      <c r="M35" s="445"/>
      <c r="N35" s="445"/>
      <c r="O35" s="445"/>
      <c r="P35" s="445"/>
      <c r="Q35" s="445"/>
      <c r="R35" s="445"/>
      <c r="S35" s="445"/>
      <c r="T35" s="445"/>
      <c r="U35"/>
      <c r="V35"/>
      <c r="W35"/>
      <c r="X35"/>
      <c r="Y35"/>
      <c r="Z35"/>
      <c r="AA35"/>
      <c r="AB35"/>
      <c r="AC35"/>
      <c r="AD35"/>
      <c r="AE35"/>
      <c r="AF35"/>
      <c r="AG35"/>
      <c r="AH35"/>
      <c r="AI35"/>
      <c r="AJ35"/>
      <c r="AK35"/>
      <c r="AL35"/>
      <c r="AM35"/>
      <c r="AN35"/>
    </row>
    <row r="36" spans="1:40" ht="18.75" customHeight="1" x14ac:dyDescent="0.25">
      <c r="A36" s="355"/>
      <c r="B36" s="355"/>
      <c r="C36" s="355"/>
      <c r="D36" s="355"/>
      <c r="E36" s="355"/>
      <c r="F36" s="355"/>
      <c r="G36" s="355"/>
      <c r="H36" s="355"/>
      <c r="I36" s="355"/>
      <c r="J36" s="355"/>
      <c r="K36" s="355"/>
      <c r="L36" s="355"/>
      <c r="M36" s="355"/>
      <c r="N36" s="355"/>
      <c r="O36" s="355"/>
      <c r="P36" s="355"/>
      <c r="Q36" s="355"/>
      <c r="R36" s="355"/>
      <c r="S36" s="355"/>
      <c r="T36" s="355"/>
      <c r="U36"/>
      <c r="V36"/>
      <c r="W36"/>
      <c r="X36"/>
      <c r="Y36"/>
      <c r="Z36"/>
      <c r="AA36"/>
      <c r="AB36"/>
      <c r="AC36"/>
      <c r="AD36"/>
      <c r="AE36"/>
      <c r="AF36"/>
      <c r="AG36"/>
      <c r="AH36"/>
      <c r="AI36"/>
      <c r="AJ36"/>
      <c r="AK36"/>
      <c r="AL36"/>
      <c r="AM36"/>
      <c r="AN36"/>
    </row>
    <row r="37" spans="1:40" ht="15" customHeight="1" x14ac:dyDescent="0.25">
      <c r="A37" s="453" t="s">
        <v>139</v>
      </c>
      <c r="B37" s="453"/>
      <c r="C37" s="453"/>
      <c r="D37" s="453"/>
      <c r="E37" s="453"/>
      <c r="F37" s="453"/>
      <c r="G37" s="453"/>
      <c r="H37" s="453"/>
      <c r="I37" s="453"/>
      <c r="J37" s="453"/>
      <c r="K37" s="453"/>
      <c r="L37" s="453"/>
      <c r="M37" s="453"/>
      <c r="N37" s="453"/>
      <c r="O37" s="453"/>
      <c r="P37" s="453"/>
      <c r="Q37" s="453"/>
      <c r="R37" s="453"/>
      <c r="S37" s="355"/>
      <c r="T37" s="355"/>
      <c r="U37"/>
      <c r="V37"/>
      <c r="W37"/>
      <c r="X37"/>
      <c r="Y37"/>
      <c r="Z37"/>
      <c r="AA37"/>
      <c r="AB37"/>
      <c r="AC37"/>
      <c r="AD37"/>
      <c r="AE37"/>
      <c r="AF37"/>
      <c r="AG37"/>
      <c r="AH37"/>
      <c r="AI37"/>
      <c r="AJ37"/>
      <c r="AK37"/>
      <c r="AL37"/>
      <c r="AM37"/>
      <c r="AN37"/>
    </row>
    <row r="38" spans="1:40" ht="15" customHeight="1" x14ac:dyDescent="0.25">
      <c r="A38" s="355"/>
      <c r="B38" s="355"/>
      <c r="C38" s="355"/>
      <c r="D38" s="355"/>
      <c r="E38" s="355"/>
      <c r="F38" s="355"/>
      <c r="G38" s="355"/>
      <c r="H38" s="355"/>
      <c r="I38" s="355"/>
      <c r="J38" s="355"/>
      <c r="K38" s="355"/>
      <c r="L38" s="355"/>
      <c r="M38" s="355"/>
      <c r="N38" s="355"/>
      <c r="O38" s="355"/>
      <c r="P38" s="355"/>
      <c r="Q38" s="355"/>
      <c r="R38" s="355"/>
      <c r="S38" s="355"/>
      <c r="T38" s="355"/>
      <c r="U38"/>
      <c r="V38"/>
      <c r="W38"/>
      <c r="X38"/>
      <c r="Y38"/>
      <c r="Z38"/>
      <c r="AA38"/>
      <c r="AB38"/>
      <c r="AC38"/>
      <c r="AD38"/>
      <c r="AE38"/>
      <c r="AF38"/>
      <c r="AG38"/>
      <c r="AH38"/>
      <c r="AI38"/>
      <c r="AJ38"/>
      <c r="AK38"/>
      <c r="AL38"/>
      <c r="AM38"/>
      <c r="AN38"/>
    </row>
    <row r="39" spans="1:40" ht="15.75" x14ac:dyDescent="0.25">
      <c r="A39" s="335" t="s">
        <v>140</v>
      </c>
      <c r="B39" s="342"/>
      <c r="C39" s="335"/>
      <c r="D39" s="335"/>
      <c r="E39" s="335"/>
      <c r="F39" s="335"/>
      <c r="G39" s="335"/>
      <c r="H39" s="335"/>
      <c r="I39" s="335"/>
      <c r="J39" s="335"/>
      <c r="K39" s="335"/>
      <c r="L39" s="335"/>
      <c r="M39" s="335"/>
      <c r="N39" s="335"/>
      <c r="O39" s="335"/>
      <c r="P39" s="335"/>
      <c r="Q39" s="335"/>
      <c r="R39" s="335"/>
      <c r="S39" s="335"/>
      <c r="T39" s="335"/>
      <c r="U39"/>
      <c r="V39"/>
      <c r="W39"/>
      <c r="X39"/>
      <c r="Y39"/>
      <c r="Z39"/>
      <c r="AA39"/>
      <c r="AB39"/>
      <c r="AC39"/>
      <c r="AD39"/>
      <c r="AE39"/>
      <c r="AF39"/>
      <c r="AG39"/>
      <c r="AH39"/>
      <c r="AI39"/>
      <c r="AJ39"/>
      <c r="AK39"/>
      <c r="AL39"/>
      <c r="AM39"/>
      <c r="AN39"/>
    </row>
    <row r="40" spans="1:40" ht="6.75" customHeight="1" x14ac:dyDescent="0.25">
      <c r="A40" s="342"/>
      <c r="B40" s="342"/>
      <c r="C40" s="335"/>
      <c r="D40" s="335"/>
      <c r="E40" s="335"/>
      <c r="F40" s="335"/>
      <c r="G40" s="335"/>
      <c r="H40" s="335"/>
      <c r="I40" s="335"/>
      <c r="J40" s="335"/>
      <c r="K40" s="335"/>
      <c r="L40" s="335"/>
      <c r="M40" s="335"/>
      <c r="N40" s="335"/>
      <c r="O40" s="335"/>
      <c r="P40" s="335"/>
      <c r="Q40" s="335"/>
      <c r="R40" s="335"/>
      <c r="S40" s="335"/>
      <c r="T40" s="335"/>
      <c r="U40"/>
      <c r="V40"/>
      <c r="W40"/>
      <c r="X40"/>
      <c r="Y40"/>
      <c r="Z40"/>
      <c r="AA40"/>
      <c r="AB40"/>
      <c r="AC40"/>
      <c r="AD40"/>
      <c r="AE40"/>
      <c r="AF40"/>
      <c r="AG40"/>
      <c r="AH40"/>
      <c r="AI40"/>
      <c r="AJ40"/>
      <c r="AK40"/>
      <c r="AL40"/>
      <c r="AM40"/>
      <c r="AN40"/>
    </row>
    <row r="41" spans="1:40" ht="21" customHeight="1" x14ac:dyDescent="0.25">
      <c r="A41" s="454" t="s">
        <v>53</v>
      </c>
      <c r="B41" s="454"/>
      <c r="C41" s="454"/>
      <c r="D41" s="454"/>
      <c r="E41" s="454"/>
      <c r="F41" s="454"/>
      <c r="G41" s="454"/>
      <c r="H41" s="454" t="s">
        <v>141</v>
      </c>
      <c r="I41" s="454"/>
      <c r="J41" s="454"/>
      <c r="K41" s="449" t="s">
        <v>142</v>
      </c>
      <c r="L41" s="449"/>
      <c r="M41" s="449"/>
      <c r="N41" s="449"/>
      <c r="O41" s="449"/>
      <c r="P41" s="449"/>
      <c r="Q41" s="454" t="s">
        <v>55</v>
      </c>
      <c r="R41" s="454"/>
      <c r="S41" s="454"/>
      <c r="T41" s="454"/>
      <c r="U41"/>
      <c r="V41"/>
      <c r="W41"/>
      <c r="X41"/>
      <c r="Y41"/>
      <c r="Z41"/>
      <c r="AA41"/>
      <c r="AB41"/>
      <c r="AC41"/>
      <c r="AD41"/>
      <c r="AE41"/>
      <c r="AF41"/>
      <c r="AG41"/>
      <c r="AH41"/>
      <c r="AI41"/>
      <c r="AJ41"/>
      <c r="AK41"/>
      <c r="AL41"/>
      <c r="AM41"/>
      <c r="AN41"/>
    </row>
    <row r="42" spans="1:40" ht="47.25" customHeight="1" x14ac:dyDescent="0.25">
      <c r="A42" s="449" t="str">
        <f>IF('Dash Board'!D19="Axle Weighing Scale","Force Measuring Instrument
SN "&amp;Data!C44,"Load Cell
SN "&amp;Data!C44)</f>
        <v>Force Measuring Instrument
SN - -</v>
      </c>
      <c r="B42" s="449"/>
      <c r="C42" s="449"/>
      <c r="D42" s="449"/>
      <c r="E42" s="449"/>
      <c r="F42" s="449"/>
      <c r="G42" s="449"/>
      <c r="H42" s="449" t="str">
        <f>IFERROR(Data!C42,Software!E36)</f>
        <v>- -</v>
      </c>
      <c r="I42" s="449"/>
      <c r="J42" s="449"/>
      <c r="K42" s="449" t="s">
        <v>388</v>
      </c>
      <c r="L42" s="449"/>
      <c r="M42" s="449"/>
      <c r="N42" s="449"/>
      <c r="O42" s="449"/>
      <c r="P42" s="449"/>
      <c r="Q42" s="449" t="s">
        <v>382</v>
      </c>
      <c r="R42" s="449"/>
      <c r="S42" s="449"/>
      <c r="T42" s="449"/>
      <c r="U42"/>
      <c r="V42"/>
      <c r="W42"/>
      <c r="X42"/>
      <c r="Y42"/>
      <c r="Z42"/>
      <c r="AA42"/>
      <c r="AB42"/>
      <c r="AC42"/>
      <c r="AD42"/>
      <c r="AE42"/>
      <c r="AF42"/>
      <c r="AG42"/>
      <c r="AH42"/>
      <c r="AI42"/>
      <c r="AJ42"/>
      <c r="AK42"/>
      <c r="AL42"/>
      <c r="AM42"/>
      <c r="AN42"/>
    </row>
    <row r="43" spans="1:40" ht="15" customHeight="1" x14ac:dyDescent="0.25">
      <c r="A43" s="361"/>
      <c r="B43" s="361"/>
      <c r="C43" s="361"/>
      <c r="D43" s="361"/>
      <c r="E43" s="361"/>
      <c r="F43" s="361"/>
      <c r="G43" s="361"/>
      <c r="H43" s="361"/>
      <c r="I43" s="361"/>
      <c r="J43" s="361"/>
      <c r="K43" s="361"/>
      <c r="L43" s="361"/>
      <c r="M43" s="361"/>
      <c r="N43" s="361"/>
      <c r="O43" s="361"/>
      <c r="P43" s="361"/>
      <c r="Q43" s="361"/>
      <c r="R43" s="361"/>
      <c r="S43" s="358"/>
      <c r="T43" s="358"/>
      <c r="U43"/>
      <c r="V43"/>
      <c r="W43"/>
      <c r="X43"/>
      <c r="Y43"/>
      <c r="Z43"/>
      <c r="AA43"/>
      <c r="AB43"/>
      <c r="AC43"/>
      <c r="AD43"/>
      <c r="AE43"/>
      <c r="AF43"/>
      <c r="AG43"/>
      <c r="AH43"/>
      <c r="AI43"/>
      <c r="AJ43"/>
      <c r="AK43"/>
      <c r="AL43"/>
      <c r="AM43"/>
      <c r="AN43"/>
    </row>
    <row r="44" spans="1:40" ht="15" customHeight="1" x14ac:dyDescent="0.25">
      <c r="A44" s="361"/>
      <c r="B44" s="361"/>
      <c r="C44" s="361"/>
      <c r="D44" s="361"/>
      <c r="E44" s="361"/>
      <c r="F44" s="361"/>
      <c r="G44" s="361"/>
      <c r="H44" s="361"/>
      <c r="I44" s="361"/>
      <c r="J44" s="361"/>
      <c r="K44" s="361"/>
      <c r="L44" s="361"/>
      <c r="M44" s="361"/>
      <c r="N44" s="361"/>
      <c r="O44" s="361"/>
      <c r="P44" s="361"/>
      <c r="Q44" s="361"/>
      <c r="R44" s="361"/>
      <c r="S44" s="358"/>
      <c r="T44" s="358"/>
      <c r="U44"/>
      <c r="V44"/>
      <c r="W44"/>
      <c r="X44"/>
      <c r="Y44"/>
      <c r="Z44"/>
      <c r="AA44"/>
      <c r="AB44"/>
      <c r="AC44"/>
      <c r="AD44"/>
      <c r="AE44"/>
      <c r="AF44"/>
      <c r="AG44"/>
      <c r="AH44"/>
      <c r="AI44"/>
      <c r="AJ44"/>
      <c r="AK44"/>
      <c r="AL44"/>
      <c r="AM44"/>
      <c r="AN44"/>
    </row>
    <row r="45" spans="1:40" ht="15.75" x14ac:dyDescent="0.25">
      <c r="A45" s="335" t="s">
        <v>144</v>
      </c>
      <c r="B45" s="342"/>
      <c r="C45" s="335"/>
      <c r="D45" s="335"/>
      <c r="E45" s="335"/>
      <c r="F45" s="335"/>
      <c r="G45" s="335"/>
      <c r="H45" s="335"/>
      <c r="I45" s="335"/>
      <c r="J45" s="335"/>
      <c r="K45" s="335"/>
      <c r="L45" s="335"/>
      <c r="M45" s="335"/>
      <c r="N45" s="335"/>
      <c r="O45" s="335"/>
      <c r="P45" s="335"/>
      <c r="Q45" s="335"/>
      <c r="R45" s="335"/>
      <c r="S45" s="335"/>
      <c r="T45" s="335"/>
      <c r="U45"/>
      <c r="V45"/>
      <c r="W45"/>
      <c r="X45"/>
      <c r="Y45"/>
      <c r="Z45"/>
      <c r="AA45"/>
      <c r="AB45"/>
      <c r="AC45"/>
      <c r="AD45"/>
      <c r="AE45"/>
      <c r="AF45"/>
      <c r="AG45"/>
      <c r="AH45"/>
      <c r="AI45"/>
      <c r="AJ45"/>
      <c r="AK45"/>
      <c r="AL45"/>
      <c r="AM45"/>
      <c r="AN45"/>
    </row>
    <row r="46" spans="1:40" ht="6.75"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c r="V46"/>
      <c r="W46"/>
      <c r="X46"/>
      <c r="Y46"/>
      <c r="Z46"/>
      <c r="AA46"/>
      <c r="AB46"/>
      <c r="AC46"/>
      <c r="AD46"/>
      <c r="AE46"/>
      <c r="AF46"/>
      <c r="AG46"/>
      <c r="AH46"/>
      <c r="AI46"/>
      <c r="AJ46"/>
      <c r="AK46"/>
      <c r="AL46"/>
      <c r="AM46"/>
      <c r="AN46"/>
    </row>
    <row r="47" spans="1:40" ht="31.9" hidden="1" customHeight="1" x14ac:dyDescent="0.25">
      <c r="A47" s="445" t="str">
        <f>"The "&amp;LOWER('Dash Board'!D19)&amp;" ("&amp;LOWER('Dash Board'!D20)&amp;") under calibration was subjected to specified force values which were applied on the working standard and readings were noted."</f>
        <v>The axle weighing scale () under calibration was subjected to specified force values which were applied on the working standard and readings were noted.</v>
      </c>
      <c r="B47" s="445"/>
      <c r="C47" s="445"/>
      <c r="D47" s="445"/>
      <c r="E47" s="445"/>
      <c r="F47" s="445"/>
      <c r="G47" s="445"/>
      <c r="H47" s="445"/>
      <c r="I47" s="445"/>
      <c r="J47" s="445"/>
      <c r="K47" s="445"/>
      <c r="L47" s="445"/>
      <c r="M47" s="445"/>
      <c r="N47" s="445"/>
      <c r="O47" s="445"/>
      <c r="P47" s="445"/>
      <c r="Q47" s="445"/>
      <c r="R47" s="445"/>
      <c r="S47" s="335"/>
      <c r="T47" s="335"/>
      <c r="U47"/>
      <c r="V47"/>
      <c r="W47"/>
      <c r="X47"/>
      <c r="Y47"/>
      <c r="Z47"/>
      <c r="AA47"/>
      <c r="AB47"/>
      <c r="AC47"/>
      <c r="AD47"/>
      <c r="AE47"/>
      <c r="AF47"/>
      <c r="AG47"/>
      <c r="AH47"/>
      <c r="AI47"/>
      <c r="AJ47"/>
      <c r="AK47"/>
      <c r="AL47"/>
      <c r="AM47"/>
      <c r="AN47"/>
    </row>
    <row r="48" spans="1:40" ht="15.75" hidden="1" x14ac:dyDescent="0.25">
      <c r="A48" s="342"/>
      <c r="B48" s="342"/>
      <c r="C48" s="335"/>
      <c r="D48" s="335"/>
      <c r="E48" s="335"/>
      <c r="F48" s="335"/>
      <c r="G48" s="335"/>
      <c r="H48" s="335"/>
      <c r="I48" s="335"/>
      <c r="J48" s="335"/>
      <c r="K48" s="335"/>
      <c r="L48" s="335"/>
      <c r="M48" s="335"/>
      <c r="N48" s="335"/>
      <c r="O48" s="335"/>
      <c r="P48" s="335"/>
      <c r="Q48" s="335"/>
      <c r="R48" s="335"/>
      <c r="S48" s="335"/>
      <c r="T48" s="335"/>
      <c r="U48"/>
      <c r="V48"/>
      <c r="W48"/>
      <c r="X48"/>
      <c r="Y48"/>
      <c r="Z48"/>
      <c r="AA48"/>
      <c r="AB48"/>
      <c r="AC48"/>
      <c r="AD48"/>
      <c r="AE48"/>
      <c r="AF48"/>
      <c r="AG48"/>
      <c r="AH48"/>
      <c r="AI48"/>
      <c r="AJ48"/>
      <c r="AK48"/>
      <c r="AL48"/>
      <c r="AM48"/>
      <c r="AN48"/>
    </row>
    <row r="49" spans="1:40" ht="33" customHeight="1" x14ac:dyDescent="0.25">
      <c r="A49" s="445" t="s">
        <v>399</v>
      </c>
      <c r="B49" s="445"/>
      <c r="C49" s="445"/>
      <c r="D49" s="445"/>
      <c r="E49" s="445"/>
      <c r="F49" s="445"/>
      <c r="G49" s="445"/>
      <c r="H49" s="445"/>
      <c r="I49" s="445"/>
      <c r="J49" s="445"/>
      <c r="K49" s="445"/>
      <c r="L49" s="445"/>
      <c r="M49" s="445"/>
      <c r="N49" s="445"/>
      <c r="O49" s="445"/>
      <c r="P49" s="445"/>
      <c r="Q49" s="445"/>
      <c r="R49" s="445"/>
      <c r="S49" s="445"/>
      <c r="T49" s="445"/>
      <c r="U49"/>
      <c r="V49"/>
      <c r="W49"/>
      <c r="X49"/>
      <c r="Y49"/>
      <c r="Z49"/>
      <c r="AA49"/>
      <c r="AB49"/>
      <c r="AC49"/>
      <c r="AD49"/>
      <c r="AE49"/>
      <c r="AF49"/>
      <c r="AG49"/>
      <c r="AH49"/>
      <c r="AI49"/>
      <c r="AJ49"/>
      <c r="AK49"/>
      <c r="AL49"/>
      <c r="AM49"/>
      <c r="AN49"/>
    </row>
    <row r="50" spans="1:40" ht="7.5" customHeight="1" x14ac:dyDescent="0.25">
      <c r="A50" s="450"/>
      <c r="B50" s="450"/>
      <c r="C50" s="450"/>
      <c r="D50" s="450"/>
      <c r="E50" s="450"/>
      <c r="F50" s="450"/>
      <c r="G50" s="450"/>
      <c r="H50" s="450"/>
      <c r="I50" s="450"/>
      <c r="J50" s="450"/>
      <c r="K50" s="450"/>
      <c r="L50" s="450"/>
      <c r="M50" s="450"/>
      <c r="N50" s="450"/>
      <c r="O50" s="450"/>
      <c r="P50" s="450"/>
      <c r="Q50" s="450"/>
      <c r="R50" s="450"/>
      <c r="S50" s="450"/>
      <c r="T50" s="450"/>
      <c r="U50"/>
      <c r="V50"/>
      <c r="W50"/>
      <c r="X50"/>
      <c r="Y50"/>
      <c r="Z50"/>
      <c r="AA50"/>
      <c r="AB50"/>
      <c r="AC50"/>
      <c r="AD50"/>
      <c r="AE50"/>
      <c r="AF50"/>
      <c r="AG50"/>
      <c r="AH50"/>
      <c r="AI50"/>
      <c r="AJ50"/>
      <c r="AK50"/>
      <c r="AL50"/>
      <c r="AM50"/>
      <c r="AN50"/>
    </row>
    <row r="51" spans="1:40" ht="48" customHeight="1" x14ac:dyDescent="0.25">
      <c r="A51" s="445" t="s">
        <v>400</v>
      </c>
      <c r="B51" s="445"/>
      <c r="C51" s="445"/>
      <c r="D51" s="445"/>
      <c r="E51" s="445"/>
      <c r="F51" s="445"/>
      <c r="G51" s="445"/>
      <c r="H51" s="445"/>
      <c r="I51" s="445"/>
      <c r="J51" s="445"/>
      <c r="K51" s="445"/>
      <c r="L51" s="445"/>
      <c r="M51" s="445"/>
      <c r="N51" s="445"/>
      <c r="O51" s="445"/>
      <c r="P51" s="445"/>
      <c r="Q51" s="445"/>
      <c r="R51" s="445"/>
      <c r="S51" s="445"/>
      <c r="T51" s="445"/>
      <c r="U51"/>
      <c r="V51"/>
      <c r="W51"/>
      <c r="X51"/>
      <c r="Y51"/>
      <c r="Z51"/>
      <c r="AA51"/>
      <c r="AB51"/>
      <c r="AC51"/>
      <c r="AD51"/>
      <c r="AE51"/>
      <c r="AF51"/>
      <c r="AG51"/>
      <c r="AH51"/>
      <c r="AI51"/>
      <c r="AJ51"/>
      <c r="AK51"/>
      <c r="AL51"/>
      <c r="AM51"/>
      <c r="AN51"/>
    </row>
    <row r="52" spans="1:40" ht="15" customHeight="1" x14ac:dyDescent="0.25">
      <c r="A52" s="362"/>
      <c r="B52" s="362"/>
      <c r="C52" s="362"/>
      <c r="D52" s="362"/>
      <c r="E52" s="362"/>
      <c r="F52" s="362"/>
      <c r="G52" s="362"/>
      <c r="H52" s="362"/>
      <c r="I52" s="362"/>
      <c r="J52" s="362"/>
      <c r="K52" s="362"/>
      <c r="L52" s="362"/>
      <c r="M52" s="362"/>
      <c r="N52" s="362"/>
      <c r="O52" s="362"/>
      <c r="P52" s="362"/>
      <c r="Q52" s="362"/>
      <c r="R52" s="362"/>
      <c r="S52" s="362"/>
      <c r="T52" s="362"/>
      <c r="U52"/>
      <c r="V52"/>
      <c r="W52"/>
      <c r="X52"/>
      <c r="Y52"/>
      <c r="Z52"/>
      <c r="AA52"/>
      <c r="AB52"/>
      <c r="AC52"/>
      <c r="AD52"/>
      <c r="AE52"/>
      <c r="AF52"/>
      <c r="AG52"/>
      <c r="AH52"/>
      <c r="AI52"/>
      <c r="AJ52"/>
      <c r="AK52"/>
      <c r="AL52"/>
      <c r="AM52"/>
      <c r="AN52"/>
    </row>
    <row r="53" spans="1:40" ht="15.75" x14ac:dyDescent="0.25">
      <c r="A53" s="335" t="s">
        <v>145</v>
      </c>
      <c r="B53" s="342"/>
      <c r="C53" s="335"/>
      <c r="D53" s="342"/>
      <c r="E53" s="335"/>
      <c r="F53" s="335"/>
      <c r="G53" s="335"/>
      <c r="H53" s="335"/>
      <c r="I53" s="335"/>
      <c r="J53" s="335"/>
      <c r="K53" s="335"/>
      <c r="L53" s="335"/>
      <c r="M53" s="335"/>
      <c r="N53" s="335"/>
      <c r="O53" s="335"/>
      <c r="P53" s="335"/>
      <c r="Q53" s="335"/>
      <c r="R53" s="335"/>
      <c r="S53" s="335"/>
      <c r="T53" s="335"/>
      <c r="U53"/>
      <c r="V53"/>
      <c r="W53"/>
      <c r="X53"/>
      <c r="Y53"/>
      <c r="Z53"/>
      <c r="AA53"/>
      <c r="AB53"/>
      <c r="AC53"/>
      <c r="AD53"/>
      <c r="AE53"/>
      <c r="AF53"/>
      <c r="AG53"/>
      <c r="AH53"/>
      <c r="AI53"/>
      <c r="AJ53"/>
      <c r="AK53"/>
      <c r="AL53"/>
      <c r="AM53"/>
      <c r="AN53"/>
    </row>
    <row r="54" spans="1:40" ht="6.75" customHeight="1" x14ac:dyDescent="0.25">
      <c r="A54" s="342"/>
      <c r="B54" s="342"/>
      <c r="C54" s="335"/>
      <c r="D54" s="335"/>
      <c r="E54" s="335"/>
      <c r="F54" s="335"/>
      <c r="G54" s="335"/>
      <c r="H54" s="335"/>
      <c r="I54" s="335"/>
      <c r="J54" s="335"/>
      <c r="K54" s="335"/>
      <c r="L54" s="335"/>
      <c r="M54" s="335"/>
      <c r="N54" s="335"/>
      <c r="O54" s="335"/>
      <c r="P54" s="335"/>
      <c r="Q54" s="335"/>
      <c r="R54" s="335"/>
      <c r="S54" s="335"/>
      <c r="T54" s="335"/>
      <c r="U54"/>
      <c r="V54"/>
      <c r="W54"/>
      <c r="X54"/>
      <c r="Y54"/>
      <c r="Z54"/>
      <c r="AA54"/>
      <c r="AB54"/>
      <c r="AC54"/>
      <c r="AD54"/>
      <c r="AE54"/>
      <c r="AF54"/>
      <c r="AG54"/>
      <c r="AH54"/>
      <c r="AI54"/>
      <c r="AJ54"/>
      <c r="AK54"/>
      <c r="AL54"/>
      <c r="AM54"/>
      <c r="AN54"/>
    </row>
    <row r="55" spans="1:40" ht="15.6" customHeight="1" x14ac:dyDescent="0.25">
      <c r="A55" s="342"/>
      <c r="B55" s="335" t="s">
        <v>57</v>
      </c>
      <c r="D55" s="335"/>
      <c r="E55" s="335"/>
      <c r="F55" s="335"/>
      <c r="G55" s="342"/>
      <c r="H55" s="451" t="e">
        <f>": ("&amp;ROUND(AVERAGE(Data!K43:L43),0)&amp;" ± 2) °C "</f>
        <v>#DIV/0!</v>
      </c>
      <c r="I55" s="451"/>
      <c r="K55" s="364"/>
      <c r="M55" s="365"/>
      <c r="N55" s="365"/>
      <c r="O55" s="365"/>
      <c r="P55" s="365"/>
      <c r="Q55" s="365"/>
      <c r="R55" s="365"/>
      <c r="S55" s="342"/>
      <c r="T55" s="342"/>
      <c r="U55"/>
      <c r="V55"/>
      <c r="W55"/>
      <c r="X55"/>
      <c r="Y55"/>
      <c r="Z55"/>
      <c r="AA55"/>
      <c r="AB55"/>
      <c r="AC55"/>
      <c r="AD55"/>
      <c r="AE55"/>
      <c r="AF55"/>
      <c r="AG55"/>
      <c r="AH55"/>
      <c r="AI55"/>
      <c r="AJ55"/>
      <c r="AK55"/>
      <c r="AL55"/>
      <c r="AM55"/>
      <c r="AN55"/>
    </row>
    <row r="56" spans="1:40" ht="15.6" customHeight="1" x14ac:dyDescent="0.25">
      <c r="A56" s="342"/>
      <c r="B56" s="335" t="s">
        <v>58</v>
      </c>
      <c r="D56" s="335"/>
      <c r="E56" s="335"/>
      <c r="F56" s="335"/>
      <c r="G56" s="342"/>
      <c r="H56" s="451" t="e">
        <f>": ("&amp;ROUND(AVERAGE(Data!K44:L44),0)&amp;" ± 5) % "</f>
        <v>#DIV/0!</v>
      </c>
      <c r="I56" s="451"/>
      <c r="K56" s="364"/>
      <c r="M56" s="366"/>
      <c r="N56" s="366"/>
      <c r="O56" s="366"/>
      <c r="P56" s="366"/>
      <c r="Q56" s="366"/>
      <c r="R56" s="366"/>
      <c r="S56" s="367"/>
      <c r="T56" s="367"/>
      <c r="U56"/>
      <c r="V56"/>
      <c r="W56"/>
      <c r="X56"/>
      <c r="Y56"/>
      <c r="Z56"/>
      <c r="AA56"/>
      <c r="AB56"/>
      <c r="AC56"/>
      <c r="AD56"/>
      <c r="AE56"/>
      <c r="AF56"/>
      <c r="AG56"/>
      <c r="AH56"/>
      <c r="AI56"/>
      <c r="AJ56"/>
      <c r="AK56"/>
      <c r="AL56"/>
      <c r="AM56"/>
      <c r="AN56"/>
    </row>
    <row r="57" spans="1:40" ht="15.6" customHeight="1" x14ac:dyDescent="0.25">
      <c r="A57" s="342"/>
      <c r="B57" s="335"/>
      <c r="D57" s="335"/>
      <c r="E57" s="335"/>
      <c r="F57" s="335"/>
      <c r="G57" s="342"/>
      <c r="H57" s="368"/>
      <c r="I57" s="368"/>
      <c r="K57" s="364"/>
      <c r="M57" s="366"/>
      <c r="N57" s="366"/>
      <c r="O57" s="366"/>
      <c r="P57" s="366"/>
      <c r="Q57" s="366"/>
      <c r="R57" s="366"/>
      <c r="S57" s="367"/>
      <c r="T57" s="367"/>
      <c r="U57"/>
      <c r="V57"/>
      <c r="W57"/>
      <c r="X57"/>
      <c r="Y57"/>
      <c r="Z57"/>
      <c r="AA57"/>
      <c r="AB57"/>
      <c r="AC57"/>
      <c r="AD57"/>
      <c r="AE57"/>
      <c r="AF57"/>
      <c r="AG57"/>
      <c r="AH57"/>
      <c r="AI57"/>
      <c r="AJ57"/>
      <c r="AK57"/>
      <c r="AL57"/>
      <c r="AM57"/>
      <c r="AN57"/>
    </row>
    <row r="58" spans="1:40" ht="15.75" x14ac:dyDescent="0.25">
      <c r="A58" s="331" t="s">
        <v>146</v>
      </c>
      <c r="B58" s="342"/>
      <c r="C58" s="335"/>
      <c r="E58" s="335"/>
      <c r="F58" s="335"/>
      <c r="G58" s="335"/>
      <c r="H58" s="335"/>
      <c r="I58" s="335"/>
      <c r="J58" s="335"/>
      <c r="K58" s="335"/>
      <c r="L58" s="335"/>
      <c r="M58" s="335"/>
      <c r="N58" s="335"/>
      <c r="O58" s="335"/>
      <c r="P58" s="335"/>
      <c r="Q58" s="335"/>
      <c r="R58" s="335"/>
      <c r="S58" s="335"/>
      <c r="T58" s="335"/>
      <c r="U58"/>
      <c r="V58"/>
      <c r="W58"/>
      <c r="X58"/>
      <c r="Y58"/>
      <c r="Z58"/>
      <c r="AA58"/>
      <c r="AB58"/>
      <c r="AC58"/>
      <c r="AD58"/>
      <c r="AE58"/>
      <c r="AF58"/>
      <c r="AG58"/>
      <c r="AH58"/>
      <c r="AI58"/>
      <c r="AJ58"/>
      <c r="AK58"/>
      <c r="AL58"/>
      <c r="AM58"/>
      <c r="AN58"/>
    </row>
    <row r="59" spans="1:40" ht="6.75" customHeight="1" x14ac:dyDescent="0.25">
      <c r="B59" s="342"/>
      <c r="C59" s="335"/>
      <c r="D59" s="335"/>
      <c r="E59" s="335"/>
      <c r="F59" s="335"/>
      <c r="G59" s="335"/>
      <c r="H59" s="335"/>
      <c r="I59" s="335"/>
      <c r="J59" s="335"/>
      <c r="K59" s="335"/>
      <c r="L59" s="335"/>
      <c r="M59" s="335"/>
      <c r="N59" s="335"/>
      <c r="O59" s="335"/>
      <c r="P59" s="335"/>
      <c r="Q59" s="335"/>
      <c r="R59" s="335"/>
      <c r="S59" s="335"/>
      <c r="T59" s="335"/>
      <c r="U59"/>
      <c r="V59"/>
      <c r="W59"/>
      <c r="X59"/>
      <c r="Y59"/>
      <c r="Z59"/>
      <c r="AA59"/>
      <c r="AB59"/>
      <c r="AC59"/>
      <c r="AD59"/>
      <c r="AE59"/>
      <c r="AF59"/>
      <c r="AG59"/>
      <c r="AH59"/>
      <c r="AI59"/>
      <c r="AJ59"/>
      <c r="AK59"/>
      <c r="AL59"/>
      <c r="AM59"/>
      <c r="AN59"/>
    </row>
    <row r="60" spans="1:40" ht="15.75" customHeight="1" x14ac:dyDescent="0.25">
      <c r="A60" s="369" t="s">
        <v>147</v>
      </c>
      <c r="B60" s="445" t="str">
        <f>"The above results were those obtained at the time of calibration and refer only to the axle weighing scale calibrated in static "&amp;LOWER('Dash Board'!N17)&amp;" mode."</f>
        <v>The above results were those obtained at the time of calibration and refer only to the axle weighing scale calibrated in static compression mode.</v>
      </c>
      <c r="C60" s="445"/>
      <c r="D60" s="445"/>
      <c r="E60" s="445"/>
      <c r="F60" s="445"/>
      <c r="G60" s="445"/>
      <c r="H60" s="445"/>
      <c r="I60" s="445"/>
      <c r="J60" s="445"/>
      <c r="K60" s="445"/>
      <c r="L60" s="445"/>
      <c r="M60" s="445"/>
      <c r="N60" s="445"/>
      <c r="O60" s="445"/>
      <c r="P60" s="445"/>
      <c r="Q60" s="445"/>
      <c r="R60" s="445"/>
      <c r="S60" s="445"/>
      <c r="T60" s="445"/>
      <c r="U60"/>
      <c r="V60"/>
      <c r="W60"/>
      <c r="X60"/>
      <c r="Y60"/>
      <c r="Z60"/>
      <c r="AA60"/>
      <c r="AB60"/>
      <c r="AC60"/>
      <c r="AD60"/>
      <c r="AE60"/>
      <c r="AF60"/>
      <c r="AG60"/>
      <c r="AH60"/>
      <c r="AI60"/>
      <c r="AJ60"/>
      <c r="AK60"/>
      <c r="AL60"/>
      <c r="AM60"/>
      <c r="AN60"/>
    </row>
    <row r="61" spans="1:40" ht="15.75" x14ac:dyDescent="0.25">
      <c r="A61" s="369"/>
      <c r="B61" s="445"/>
      <c r="C61" s="445"/>
      <c r="D61" s="445"/>
      <c r="E61" s="445"/>
      <c r="F61" s="445"/>
      <c r="G61" s="445"/>
      <c r="H61" s="445"/>
      <c r="I61" s="445"/>
      <c r="J61" s="445"/>
      <c r="K61" s="445"/>
      <c r="L61" s="445"/>
      <c r="M61" s="445"/>
      <c r="N61" s="445"/>
      <c r="O61" s="445"/>
      <c r="P61" s="445"/>
      <c r="Q61" s="445"/>
      <c r="R61" s="445"/>
      <c r="S61" s="445"/>
      <c r="T61" s="445"/>
      <c r="U61"/>
      <c r="V61"/>
      <c r="W61"/>
      <c r="X61"/>
      <c r="Y61"/>
      <c r="Z61"/>
      <c r="AA61"/>
      <c r="AB61"/>
      <c r="AC61"/>
      <c r="AD61"/>
      <c r="AE61"/>
      <c r="AF61"/>
      <c r="AG61"/>
      <c r="AH61"/>
      <c r="AI61"/>
      <c r="AJ61"/>
      <c r="AK61"/>
      <c r="AL61"/>
      <c r="AM61"/>
      <c r="AN61"/>
    </row>
    <row r="62" spans="1:40" ht="15.75" hidden="1" x14ac:dyDescent="0.25">
      <c r="A62" s="369" t="s">
        <v>147</v>
      </c>
      <c r="B62" s="447" t="str">
        <f>"The overall performance of this "&amp;LOWER('Dash Board'!D19)&amp;" was "&amp;IF(COUNTIFS(O26:R30,"-")&gt;2,"UNSATISFACTORY.","SATISFACTORY.")</f>
        <v>The overall performance of this axle weighing scale was SATISFACTORY.</v>
      </c>
      <c r="C62" s="448"/>
      <c r="D62" s="448"/>
      <c r="E62" s="448"/>
      <c r="F62" s="448"/>
      <c r="G62" s="448"/>
      <c r="H62" s="448"/>
      <c r="I62" s="448"/>
      <c r="J62" s="448"/>
      <c r="K62" s="448"/>
      <c r="L62" s="448"/>
      <c r="M62" s="448"/>
      <c r="N62" s="448"/>
      <c r="O62" s="448"/>
      <c r="P62" s="448"/>
      <c r="Q62" s="448"/>
      <c r="R62" s="448"/>
      <c r="S62" s="345"/>
      <c r="T62" s="345"/>
      <c r="U62"/>
      <c r="V62"/>
      <c r="W62"/>
      <c r="X62"/>
      <c r="Y62"/>
      <c r="Z62"/>
      <c r="AA62"/>
      <c r="AB62"/>
      <c r="AC62"/>
      <c r="AD62"/>
      <c r="AE62"/>
      <c r="AF62"/>
      <c r="AG62"/>
      <c r="AH62"/>
      <c r="AI62"/>
      <c r="AJ62"/>
      <c r="AK62"/>
      <c r="AL62"/>
      <c r="AM62"/>
      <c r="AN62"/>
    </row>
    <row r="63" spans="1:40" ht="30" customHeight="1" x14ac:dyDescent="0.25">
      <c r="A63" s="370" t="s">
        <v>147</v>
      </c>
      <c r="B63" s="445" t="str">
        <f>"No adjustment was performed on the "&amp;LOWER('Dash Board'!D19)&amp;". The user should determine suitability of the "&amp;LOWER('Dash Board'!D19)&amp;" for its intended use."</f>
        <v>No adjustment was performed on the axle weighing scale. The user should determine suitability of the axle weighing scale for its intended use.</v>
      </c>
      <c r="C63" s="445"/>
      <c r="D63" s="445"/>
      <c r="E63" s="445"/>
      <c r="F63" s="445"/>
      <c r="G63" s="445"/>
      <c r="H63" s="445"/>
      <c r="I63" s="445"/>
      <c r="J63" s="445"/>
      <c r="K63" s="445"/>
      <c r="L63" s="445"/>
      <c r="M63" s="445"/>
      <c r="N63" s="445"/>
      <c r="O63" s="445"/>
      <c r="P63" s="445"/>
      <c r="Q63" s="445"/>
      <c r="R63" s="445"/>
      <c r="S63" s="445"/>
      <c r="T63" s="445"/>
      <c r="U63"/>
      <c r="V63"/>
      <c r="W63"/>
      <c r="X63"/>
      <c r="Y63"/>
      <c r="Z63"/>
      <c r="AA63"/>
      <c r="AB63"/>
      <c r="AC63"/>
      <c r="AD63"/>
      <c r="AE63"/>
      <c r="AF63"/>
      <c r="AG63"/>
      <c r="AH63"/>
      <c r="AI63"/>
      <c r="AJ63"/>
      <c r="AK63"/>
      <c r="AL63"/>
      <c r="AM63"/>
      <c r="AN63"/>
    </row>
    <row r="64" spans="1:40" ht="15.4" hidden="1" customHeight="1" x14ac:dyDescent="0.25">
      <c r="A64" s="370" t="s">
        <v>147</v>
      </c>
      <c r="B64" s="445" t="str">
        <f>IF('Dash Board'!O18="kN","The unit kN can only be directly converted to other force units.","The conversion factor is 1 "&amp;'Dash Board'!O18&amp;" = "&amp;Data!K18&amp;" kN.")</f>
        <v>The conversion factor is 1 kgf = 9.80665 kN.</v>
      </c>
      <c r="C64" s="445"/>
      <c r="D64" s="445"/>
      <c r="E64" s="445"/>
      <c r="F64" s="445"/>
      <c r="G64" s="445"/>
      <c r="H64" s="445"/>
      <c r="I64" s="445"/>
      <c r="J64" s="445"/>
      <c r="K64" s="445"/>
      <c r="L64" s="445"/>
      <c r="M64" s="445"/>
      <c r="N64" s="445"/>
      <c r="O64" s="445"/>
      <c r="P64" s="445"/>
      <c r="Q64" s="445"/>
      <c r="R64" s="445"/>
      <c r="S64" s="358"/>
      <c r="T64" s="358"/>
      <c r="U64"/>
      <c r="V64"/>
      <c r="W64"/>
      <c r="X64"/>
      <c r="Y64"/>
      <c r="Z64"/>
      <c r="AA64"/>
      <c r="AB64"/>
      <c r="AC64"/>
      <c r="AD64"/>
      <c r="AE64"/>
      <c r="AF64"/>
      <c r="AG64"/>
      <c r="AH64"/>
      <c r="AI64"/>
      <c r="AJ64"/>
      <c r="AK64"/>
      <c r="AL64"/>
      <c r="AM64"/>
      <c r="AN64"/>
    </row>
    <row r="65" spans="1:40" ht="10.5" customHeight="1" x14ac:dyDescent="0.25">
      <c r="A65" s="369"/>
      <c r="B65" s="430"/>
      <c r="C65" s="430"/>
      <c r="D65" s="430"/>
      <c r="E65" s="430"/>
      <c r="F65" s="430"/>
      <c r="G65" s="430"/>
      <c r="H65" s="430"/>
      <c r="I65" s="430"/>
      <c r="J65" s="430"/>
      <c r="K65" s="430"/>
      <c r="L65" s="430"/>
      <c r="M65" s="430"/>
      <c r="N65" s="430"/>
      <c r="O65" s="430"/>
      <c r="P65" s="430"/>
      <c r="Q65" s="430"/>
      <c r="R65" s="430"/>
      <c r="S65" s="358"/>
      <c r="T65" s="358"/>
      <c r="U65"/>
      <c r="V65"/>
      <c r="W65"/>
      <c r="X65"/>
      <c r="Y65"/>
      <c r="Z65"/>
      <c r="AA65"/>
      <c r="AB65"/>
      <c r="AC65"/>
      <c r="AD65"/>
      <c r="AE65"/>
      <c r="AF65"/>
      <c r="AG65"/>
      <c r="AH65"/>
      <c r="AI65"/>
      <c r="AJ65"/>
      <c r="AK65"/>
      <c r="AL65"/>
      <c r="AM65"/>
      <c r="AN65"/>
    </row>
    <row r="66" spans="1:40" ht="4.5" customHeight="1" x14ac:dyDescent="0.25">
      <c r="A66" s="371"/>
      <c r="B66" s="372"/>
      <c r="C66" s="372"/>
      <c r="D66" s="372"/>
      <c r="E66" s="372"/>
      <c r="F66" s="372"/>
      <c r="G66" s="372"/>
      <c r="H66" s="372"/>
      <c r="I66" s="372"/>
      <c r="J66" s="372"/>
      <c r="K66" s="372"/>
      <c r="L66" s="372"/>
      <c r="M66" s="372"/>
      <c r="N66" s="372"/>
      <c r="O66" s="372"/>
      <c r="P66" s="372"/>
      <c r="Q66" s="372"/>
      <c r="R66" s="372"/>
      <c r="S66" s="372"/>
      <c r="T66" s="372"/>
      <c r="U66"/>
      <c r="V66"/>
      <c r="W66"/>
      <c r="X66"/>
      <c r="Y66"/>
      <c r="Z66"/>
      <c r="AA66"/>
      <c r="AB66"/>
      <c r="AC66"/>
      <c r="AD66"/>
      <c r="AE66"/>
      <c r="AF66"/>
      <c r="AG66"/>
      <c r="AH66"/>
      <c r="AI66"/>
      <c r="AJ66"/>
      <c r="AK66"/>
      <c r="AL66"/>
      <c r="AM66"/>
      <c r="AN66"/>
    </row>
    <row r="67" spans="1:40" ht="1.5" customHeight="1" x14ac:dyDescent="0.25">
      <c r="A67" s="371"/>
      <c r="B67" s="372"/>
      <c r="C67" s="372"/>
      <c r="D67" s="372"/>
      <c r="E67" s="372"/>
      <c r="F67" s="372"/>
      <c r="G67" s="372"/>
      <c r="H67" s="372"/>
      <c r="I67" s="372"/>
      <c r="J67" s="372"/>
      <c r="K67" s="372"/>
      <c r="L67" s="372"/>
      <c r="M67" s="372"/>
      <c r="N67" s="372"/>
      <c r="O67" s="372"/>
      <c r="P67" s="372"/>
      <c r="Q67" s="372"/>
      <c r="R67" s="372"/>
      <c r="S67" s="372"/>
      <c r="T67" s="372"/>
      <c r="U67"/>
      <c r="V67"/>
      <c r="W67"/>
      <c r="X67"/>
      <c r="Y67"/>
      <c r="Z67"/>
      <c r="AA67"/>
      <c r="AB67"/>
      <c r="AC67"/>
      <c r="AD67"/>
      <c r="AE67"/>
      <c r="AF67"/>
      <c r="AG67"/>
      <c r="AH67"/>
      <c r="AI67"/>
      <c r="AJ67"/>
      <c r="AK67"/>
      <c r="AL67"/>
      <c r="AM67"/>
      <c r="AN67"/>
    </row>
    <row r="68" spans="1:40" ht="2.25" customHeight="1" x14ac:dyDescent="0.25">
      <c r="A68" s="371"/>
      <c r="B68" s="372"/>
      <c r="C68" s="372"/>
      <c r="D68" s="372"/>
      <c r="E68" s="372"/>
      <c r="F68" s="372"/>
      <c r="G68" s="372"/>
      <c r="H68" s="372"/>
      <c r="I68" s="372"/>
      <c r="J68" s="372"/>
      <c r="K68" s="372"/>
      <c r="L68" s="372"/>
      <c r="M68" s="372"/>
      <c r="N68" s="372"/>
      <c r="O68" s="372"/>
      <c r="P68" s="372"/>
      <c r="Q68" s="372"/>
      <c r="R68" s="372"/>
      <c r="S68" s="372"/>
      <c r="T68" s="372"/>
      <c r="U68"/>
      <c r="V68"/>
      <c r="W68"/>
      <c r="X68"/>
      <c r="Y68"/>
      <c r="Z68"/>
      <c r="AA68"/>
      <c r="AB68"/>
      <c r="AC68"/>
      <c r="AD68"/>
      <c r="AE68"/>
      <c r="AF68"/>
      <c r="AG68"/>
      <c r="AH68"/>
      <c r="AI68"/>
      <c r="AJ68"/>
      <c r="AK68"/>
      <c r="AL68"/>
      <c r="AM68"/>
      <c r="AN68"/>
    </row>
    <row r="69" spans="1:40" ht="5.25" customHeight="1" x14ac:dyDescent="0.25">
      <c r="A69" s="342"/>
      <c r="B69" s="358"/>
      <c r="C69" s="358"/>
      <c r="D69" s="358"/>
      <c r="E69" s="358"/>
      <c r="F69" s="358"/>
      <c r="G69" s="358"/>
      <c r="H69" s="358"/>
      <c r="I69" s="358"/>
      <c r="J69" s="358"/>
      <c r="K69" s="358"/>
      <c r="L69" s="358"/>
      <c r="M69" s="358"/>
      <c r="N69" s="358"/>
      <c r="O69" s="358"/>
      <c r="P69" s="335"/>
      <c r="Q69" s="335"/>
      <c r="R69" s="335"/>
      <c r="S69" s="335"/>
      <c r="T69" s="335"/>
      <c r="U69"/>
      <c r="V69"/>
      <c r="W69"/>
      <c r="X69"/>
      <c r="Y69"/>
      <c r="Z69"/>
      <c r="AA69"/>
      <c r="AB69"/>
      <c r="AC69"/>
      <c r="AD69"/>
      <c r="AE69"/>
      <c r="AF69"/>
      <c r="AG69"/>
      <c r="AH69"/>
      <c r="AI69"/>
      <c r="AJ69"/>
      <c r="AK69"/>
      <c r="AL69"/>
      <c r="AM69"/>
      <c r="AN69"/>
    </row>
    <row r="70" spans="1:40" ht="15" hidden="1" customHeight="1" x14ac:dyDescent="0.25">
      <c r="A70" s="442" t="str">
        <f>UPPER('Dash Board'!N10)</f>
        <v>AHDRIAN CAMILO C. GERNALE</v>
      </c>
      <c r="B70" s="442"/>
      <c r="C70" s="442"/>
      <c r="D70" s="442"/>
      <c r="E70" s="442"/>
      <c r="F70" s="442"/>
      <c r="G70" s="442"/>
      <c r="H70" s="442"/>
      <c r="I70" s="442"/>
      <c r="J70" s="335"/>
      <c r="K70" s="335"/>
      <c r="L70" s="335"/>
      <c r="M70" s="358"/>
      <c r="N70" s="358"/>
      <c r="O70" s="358"/>
      <c r="P70" s="335"/>
      <c r="Q70" s="335"/>
      <c r="R70" s="335"/>
      <c r="S70" s="335"/>
      <c r="T70" s="335"/>
      <c r="U70"/>
      <c r="V70"/>
      <c r="W70"/>
      <c r="X70"/>
      <c r="Y70"/>
      <c r="Z70"/>
      <c r="AA70"/>
      <c r="AB70"/>
      <c r="AC70"/>
      <c r="AD70"/>
      <c r="AE70"/>
      <c r="AF70"/>
      <c r="AG70"/>
      <c r="AH70"/>
      <c r="AI70"/>
      <c r="AJ70"/>
      <c r="AK70"/>
      <c r="AL70"/>
      <c r="AM70"/>
      <c r="AN70"/>
    </row>
    <row r="71" spans="1:40" ht="15.75" hidden="1" x14ac:dyDescent="0.25">
      <c r="A71" s="442" t="str">
        <f>VLOOKUP(A70,calibratorsdb[#Data],2,FALSE)</f>
        <v>Science Research Specialist II</v>
      </c>
      <c r="B71" s="442"/>
      <c r="C71" s="442"/>
      <c r="D71" s="442"/>
      <c r="E71" s="442"/>
      <c r="F71" s="442"/>
      <c r="G71" s="442"/>
      <c r="H71" s="442"/>
      <c r="I71" s="442"/>
      <c r="J71" s="335"/>
      <c r="K71" s="335"/>
      <c r="L71" s="335"/>
      <c r="M71" s="358"/>
      <c r="N71" s="358"/>
      <c r="O71" s="358"/>
      <c r="P71" s="335"/>
      <c r="Q71" s="335"/>
      <c r="R71" s="335"/>
      <c r="S71" s="335"/>
      <c r="T71" s="335"/>
      <c r="U71"/>
      <c r="V71"/>
      <c r="W71"/>
      <c r="X71"/>
      <c r="Y71"/>
      <c r="Z71"/>
      <c r="AA71"/>
      <c r="AB71"/>
      <c r="AC71"/>
      <c r="AD71"/>
      <c r="AE71"/>
      <c r="AF71"/>
      <c r="AG71"/>
      <c r="AH71"/>
      <c r="AI71"/>
      <c r="AJ71"/>
      <c r="AK71"/>
      <c r="AL71"/>
      <c r="AM71"/>
      <c r="AN71"/>
    </row>
    <row r="72" spans="1:40" ht="8.25" customHeight="1" x14ac:dyDescent="0.25">
      <c r="A72" s="442"/>
      <c r="B72" s="442"/>
      <c r="C72" s="442"/>
      <c r="D72" s="442"/>
      <c r="E72" s="442"/>
      <c r="F72" s="442"/>
      <c r="G72" s="442"/>
      <c r="H72" s="442"/>
      <c r="I72" s="442"/>
      <c r="J72" s="335"/>
      <c r="K72" s="335"/>
      <c r="L72" s="335"/>
      <c r="M72" s="358"/>
      <c r="N72" s="358"/>
      <c r="O72" s="358"/>
      <c r="P72" s="335"/>
      <c r="Q72" s="335"/>
      <c r="R72" s="335"/>
      <c r="S72" s="335"/>
      <c r="T72" s="335"/>
      <c r="U72"/>
      <c r="V72"/>
      <c r="W72"/>
      <c r="X72"/>
      <c r="Y72"/>
      <c r="Z72"/>
      <c r="AA72"/>
      <c r="AB72"/>
      <c r="AC72"/>
      <c r="AD72"/>
      <c r="AE72"/>
      <c r="AF72"/>
      <c r="AG72"/>
      <c r="AH72"/>
      <c r="AI72"/>
      <c r="AJ72"/>
      <c r="AK72"/>
      <c r="AL72"/>
      <c r="AM72"/>
      <c r="AN72"/>
    </row>
    <row r="73" spans="1:40" ht="15.75" x14ac:dyDescent="0.25">
      <c r="A73" s="364"/>
      <c r="B73" s="364"/>
      <c r="C73" s="364"/>
      <c r="D73" s="364"/>
      <c r="E73" s="364"/>
      <c r="F73" s="364"/>
      <c r="G73" s="364"/>
      <c r="H73" s="364"/>
      <c r="I73" s="364"/>
      <c r="J73" s="335"/>
      <c r="K73" s="335"/>
      <c r="L73" s="335"/>
      <c r="M73" s="358"/>
      <c r="N73" s="358"/>
      <c r="O73" s="358"/>
      <c r="P73" s="335"/>
      <c r="Q73" s="335"/>
      <c r="R73" s="335"/>
      <c r="S73" s="335"/>
      <c r="T73" s="335"/>
      <c r="U73"/>
      <c r="V73"/>
      <c r="W73"/>
      <c r="X73"/>
      <c r="Y73"/>
      <c r="Z73"/>
      <c r="AA73"/>
      <c r="AB73"/>
      <c r="AC73"/>
      <c r="AD73"/>
      <c r="AE73"/>
      <c r="AF73"/>
      <c r="AG73"/>
      <c r="AH73"/>
      <c r="AI73"/>
      <c r="AJ73"/>
      <c r="AK73"/>
      <c r="AL73"/>
      <c r="AM73"/>
      <c r="AN73"/>
    </row>
    <row r="74" spans="1:40" ht="15.75" customHeight="1" x14ac:dyDescent="0.25">
      <c r="A74" s="442" t="str">
        <f>UPPER(IF('Dash Board'!N11&lt;&gt;"none",'Dash Board'!N11,""))</f>
        <v>RADLEY F. MANALO</v>
      </c>
      <c r="B74" s="442"/>
      <c r="C74" s="442"/>
      <c r="D74" s="442"/>
      <c r="E74" s="442"/>
      <c r="F74" s="442"/>
      <c r="G74" s="442"/>
      <c r="H74" s="442"/>
      <c r="I74" s="442"/>
      <c r="J74" s="331" t="str">
        <f>IF(A74&lt;&gt;"","","For the Chief, National Metrology Laboratory")</f>
        <v/>
      </c>
      <c r="K74" s="331"/>
      <c r="L74" s="331"/>
      <c r="M74" s="331"/>
      <c r="N74" s="331"/>
      <c r="O74" s="331"/>
      <c r="P74" s="331"/>
      <c r="Q74" s="331"/>
      <c r="R74" s="335"/>
      <c r="S74" s="335"/>
      <c r="T74" s="335"/>
      <c r="U74"/>
      <c r="V74"/>
      <c r="W74"/>
      <c r="X74"/>
      <c r="Y74"/>
      <c r="Z74"/>
      <c r="AA74"/>
      <c r="AB74"/>
      <c r="AC74"/>
      <c r="AD74"/>
      <c r="AE74"/>
      <c r="AF74"/>
      <c r="AG74"/>
      <c r="AH74"/>
      <c r="AI74"/>
      <c r="AJ74"/>
      <c r="AK74"/>
      <c r="AL74"/>
      <c r="AM74"/>
      <c r="AN74"/>
    </row>
    <row r="75" spans="1:40" ht="15.75" customHeight="1" x14ac:dyDescent="0.25">
      <c r="A75" s="442" t="str">
        <f>IF(A74="","",VLOOKUP(A74,calibratorsdb[#Data],2,FALSE))</f>
        <v>Senior Science Research Specialist</v>
      </c>
      <c r="B75" s="442"/>
      <c r="C75" s="442"/>
      <c r="D75" s="442"/>
      <c r="E75" s="442"/>
      <c r="F75" s="442"/>
      <c r="G75" s="442"/>
      <c r="H75" s="442"/>
      <c r="I75" s="442"/>
      <c r="J75" s="358"/>
      <c r="K75" s="358"/>
      <c r="L75" s="358"/>
      <c r="M75" s="358"/>
      <c r="N75" s="358"/>
      <c r="Q75" s="335"/>
      <c r="R75" s="335"/>
      <c r="S75" s="335"/>
      <c r="T75" s="335"/>
      <c r="U75"/>
      <c r="V75"/>
      <c r="W75"/>
      <c r="X75"/>
      <c r="Y75"/>
      <c r="Z75"/>
      <c r="AA75"/>
      <c r="AB75"/>
      <c r="AC75"/>
      <c r="AD75"/>
      <c r="AE75"/>
      <c r="AF75"/>
      <c r="AG75"/>
      <c r="AH75"/>
      <c r="AI75"/>
      <c r="AJ75"/>
      <c r="AK75"/>
      <c r="AL75"/>
      <c r="AM75"/>
      <c r="AN75"/>
    </row>
    <row r="76" spans="1:40" ht="15.75" customHeight="1" x14ac:dyDescent="0.25">
      <c r="A76" s="364"/>
      <c r="B76" s="364"/>
      <c r="C76" s="364"/>
      <c r="D76" s="364"/>
      <c r="E76" s="364"/>
      <c r="F76" s="364"/>
      <c r="G76" s="364"/>
      <c r="H76" s="364"/>
      <c r="I76" s="364"/>
      <c r="J76" s="358"/>
      <c r="K76" s="358"/>
      <c r="L76" s="358"/>
      <c r="M76" s="358"/>
      <c r="N76" s="358"/>
      <c r="Q76" s="335"/>
      <c r="R76" s="335"/>
      <c r="S76" s="335"/>
      <c r="T76" s="335"/>
      <c r="U76"/>
      <c r="V76"/>
      <c r="W76"/>
      <c r="X76"/>
      <c r="Y76"/>
      <c r="Z76"/>
      <c r="AA76"/>
      <c r="AB76"/>
      <c r="AC76"/>
      <c r="AD76"/>
      <c r="AE76"/>
      <c r="AF76"/>
      <c r="AG76"/>
      <c r="AH76"/>
      <c r="AI76"/>
      <c r="AJ76"/>
      <c r="AK76"/>
      <c r="AL76"/>
      <c r="AM76"/>
      <c r="AN76"/>
    </row>
    <row r="77" spans="1:40" ht="15.75" customHeight="1" x14ac:dyDescent="0.25">
      <c r="A77" s="364"/>
      <c r="B77" s="364"/>
      <c r="C77" s="364"/>
      <c r="D77" s="364"/>
      <c r="E77" s="364"/>
      <c r="F77" s="364"/>
      <c r="G77" s="364"/>
      <c r="H77" s="364"/>
      <c r="I77" s="364"/>
      <c r="J77" s="443" t="str">
        <f>IF(A74&lt;&gt;"","","RADLEY F. MANALO")</f>
        <v/>
      </c>
      <c r="K77" s="443"/>
      <c r="L77" s="443"/>
      <c r="M77" s="443"/>
      <c r="N77" s="443"/>
      <c r="O77" s="358"/>
      <c r="P77" s="358"/>
      <c r="Q77" s="358"/>
      <c r="R77" s="335"/>
      <c r="S77" s="335"/>
      <c r="T77" s="335"/>
      <c r="U77"/>
      <c r="V77"/>
      <c r="W77"/>
      <c r="X77"/>
      <c r="Y77"/>
      <c r="Z77"/>
      <c r="AA77"/>
      <c r="AB77"/>
      <c r="AC77"/>
      <c r="AD77"/>
      <c r="AE77"/>
      <c r="AF77"/>
      <c r="AG77"/>
      <c r="AH77"/>
      <c r="AI77"/>
      <c r="AJ77"/>
      <c r="AK77"/>
      <c r="AL77"/>
      <c r="AM77"/>
      <c r="AN77"/>
    </row>
    <row r="78" spans="1:40" ht="15.6" customHeight="1" x14ac:dyDescent="0.25">
      <c r="A78" s="342"/>
      <c r="B78" s="342"/>
      <c r="C78" s="358"/>
      <c r="D78" s="358"/>
      <c r="E78" s="358"/>
      <c r="F78" s="358"/>
      <c r="G78" s="358"/>
      <c r="H78" s="358"/>
      <c r="I78" s="358"/>
      <c r="M78" s="335" t="str">
        <f>IF(A74&lt;&gt;"","Issued under the autority of: ","Chief")</f>
        <v xml:space="preserve">Issued under the autority of: </v>
      </c>
      <c r="N78" s="335"/>
      <c r="O78" s="335"/>
      <c r="P78" s="366"/>
      <c r="Q78" s="366"/>
      <c r="R78" s="366"/>
      <c r="S78" s="366"/>
      <c r="T78" s="366"/>
      <c r="U78"/>
      <c r="V78"/>
      <c r="W78"/>
      <c r="X78"/>
      <c r="Y78"/>
      <c r="Z78"/>
      <c r="AA78"/>
      <c r="AB78"/>
      <c r="AC78"/>
      <c r="AD78"/>
      <c r="AE78"/>
      <c r="AF78"/>
      <c r="AG78"/>
      <c r="AH78"/>
      <c r="AI78"/>
      <c r="AJ78"/>
      <c r="AK78"/>
      <c r="AL78"/>
      <c r="AM78"/>
      <c r="AN78"/>
    </row>
    <row r="79" spans="1:40" ht="15" customHeight="1" x14ac:dyDescent="0.25">
      <c r="A79" s="342"/>
      <c r="B79" s="342"/>
      <c r="C79" s="335"/>
      <c r="D79" s="335"/>
      <c r="E79" s="335"/>
      <c r="F79" s="335"/>
      <c r="G79" s="335"/>
      <c r="H79" s="335"/>
      <c r="I79" s="335"/>
      <c r="J79" s="442" t="str">
        <f>IF(A74&lt;&gt;"","","Pressure and Force Standards Section")</f>
        <v/>
      </c>
      <c r="K79" s="442"/>
      <c r="L79" s="442"/>
      <c r="M79" s="442"/>
      <c r="N79" s="442"/>
      <c r="O79" s="335"/>
      <c r="P79" s="434"/>
      <c r="Q79" s="335"/>
      <c r="R79" s="335"/>
      <c r="S79" s="335"/>
      <c r="T79" s="335"/>
      <c r="U79"/>
      <c r="V79"/>
      <c r="W79"/>
      <c r="X79"/>
      <c r="Y79"/>
      <c r="Z79"/>
      <c r="AA79"/>
      <c r="AB79"/>
      <c r="AC79"/>
      <c r="AD79"/>
      <c r="AE79"/>
      <c r="AF79"/>
      <c r="AG79"/>
      <c r="AH79"/>
      <c r="AI79"/>
      <c r="AJ79"/>
      <c r="AK79"/>
      <c r="AL79"/>
      <c r="AM79"/>
      <c r="AN79"/>
    </row>
    <row r="80" spans="1:40" ht="15" customHeight="1" x14ac:dyDescent="0.25">
      <c r="A80" s="342"/>
      <c r="B80" s="342"/>
      <c r="C80" s="335"/>
      <c r="D80" s="335"/>
      <c r="E80" s="335"/>
      <c r="F80" s="335"/>
      <c r="G80" s="335"/>
      <c r="H80" s="335"/>
      <c r="I80" s="335"/>
      <c r="J80" s="335" t="str">
        <f>IF(A74&lt;&gt;"","","Date issued: _____________________")</f>
        <v/>
      </c>
      <c r="K80" s="335"/>
      <c r="L80" s="335"/>
      <c r="M80" s="335"/>
      <c r="N80" s="335"/>
      <c r="O80" s="335"/>
      <c r="P80" s="335"/>
      <c r="Q80" s="335"/>
      <c r="R80" s="335"/>
      <c r="S80" s="335"/>
      <c r="T80" s="335"/>
      <c r="U80"/>
      <c r="V80"/>
      <c r="W80"/>
      <c r="X80"/>
      <c r="Y80"/>
      <c r="Z80"/>
      <c r="AA80"/>
      <c r="AB80"/>
      <c r="AC80"/>
      <c r="AD80"/>
      <c r="AE80"/>
      <c r="AF80"/>
      <c r="AG80"/>
      <c r="AH80"/>
      <c r="AI80"/>
      <c r="AJ80"/>
      <c r="AK80"/>
      <c r="AL80"/>
      <c r="AM80"/>
      <c r="AN80"/>
    </row>
    <row r="81" spans="1:40" ht="15.75" x14ac:dyDescent="0.25">
      <c r="A81" s="342"/>
      <c r="B81" s="342"/>
      <c r="C81" s="335"/>
      <c r="D81" s="335"/>
      <c r="E81" s="335"/>
      <c r="F81" s="335"/>
      <c r="G81" s="335"/>
      <c r="H81" s="335"/>
      <c r="I81" s="335"/>
      <c r="M81" s="335" t="str">
        <f>IF(A74&lt;&gt;"","MICHAEL JASON A. SOLIS","")</f>
        <v>MICHAEL JASON A. SOLIS</v>
      </c>
      <c r="N81" s="335"/>
      <c r="O81" s="335"/>
      <c r="P81" s="335"/>
      <c r="Q81" s="335"/>
      <c r="R81" s="335"/>
      <c r="S81" s="335"/>
      <c r="T81" s="335"/>
      <c r="U81"/>
      <c r="V81"/>
      <c r="W81"/>
      <c r="X81"/>
      <c r="Y81"/>
      <c r="Z81"/>
      <c r="AA81"/>
      <c r="AB81"/>
      <c r="AC81"/>
      <c r="AD81"/>
      <c r="AE81"/>
      <c r="AF81"/>
      <c r="AG81"/>
      <c r="AH81"/>
      <c r="AI81"/>
      <c r="AJ81"/>
      <c r="AK81"/>
      <c r="AL81"/>
      <c r="AM81"/>
      <c r="AN81"/>
    </row>
    <row r="82" spans="1:40" ht="15.75" x14ac:dyDescent="0.25">
      <c r="A82" s="342"/>
      <c r="B82" s="342"/>
      <c r="C82" s="335"/>
      <c r="D82" s="335"/>
      <c r="E82" s="335"/>
      <c r="F82" s="335"/>
      <c r="G82" s="335"/>
      <c r="H82" s="335"/>
      <c r="I82" s="335"/>
      <c r="L82" s="335"/>
      <c r="M82" s="335"/>
      <c r="N82" s="335"/>
      <c r="P82" s="335" t="str">
        <f>IF(A74&lt;&gt;"","Chief","")</f>
        <v>Chief</v>
      </c>
      <c r="Q82" s="335"/>
      <c r="R82" s="335"/>
      <c r="S82" s="335"/>
      <c r="T82" s="335"/>
      <c r="U82"/>
      <c r="V82"/>
      <c r="W82"/>
      <c r="X82"/>
      <c r="Y82"/>
      <c r="Z82"/>
      <c r="AA82"/>
      <c r="AB82"/>
      <c r="AC82"/>
      <c r="AD82"/>
      <c r="AE82"/>
      <c r="AF82"/>
      <c r="AG82"/>
      <c r="AH82"/>
      <c r="AI82"/>
      <c r="AJ82"/>
      <c r="AK82"/>
      <c r="AL82"/>
      <c r="AM82"/>
      <c r="AN82"/>
    </row>
    <row r="83" spans="1:40" ht="15.75" x14ac:dyDescent="0.25">
      <c r="A83" s="342"/>
      <c r="B83" s="342"/>
      <c r="C83" s="335"/>
      <c r="D83" s="335"/>
      <c r="E83" s="335"/>
      <c r="F83" s="335"/>
      <c r="G83" s="335"/>
      <c r="H83" s="335"/>
      <c r="I83" s="335"/>
      <c r="K83" s="436" t="str">
        <f>IF(A74&lt;&gt;"","Date issued: _________________________","")</f>
        <v>Date issued: _________________________</v>
      </c>
      <c r="L83" s="364"/>
      <c r="M83" s="446">
        <v>46161</v>
      </c>
      <c r="N83" s="446"/>
      <c r="O83" s="446"/>
      <c r="P83" s="446"/>
      <c r="Q83" s="446"/>
      <c r="R83" s="446"/>
      <c r="S83" s="335"/>
      <c r="T83" s="335"/>
      <c r="U83"/>
      <c r="V83"/>
      <c r="W83"/>
      <c r="X83"/>
      <c r="Y83"/>
      <c r="Z83"/>
      <c r="AA83"/>
      <c r="AB83"/>
      <c r="AC83"/>
      <c r="AD83"/>
      <c r="AE83"/>
      <c r="AF83"/>
      <c r="AG83"/>
      <c r="AH83"/>
      <c r="AI83"/>
      <c r="AJ83"/>
      <c r="AK83"/>
      <c r="AL83"/>
      <c r="AM83"/>
      <c r="AN83"/>
    </row>
    <row r="84" spans="1:40" ht="15.75" x14ac:dyDescent="0.25">
      <c r="A84" s="342"/>
      <c r="B84" s="342"/>
      <c r="C84" s="335"/>
      <c r="D84" s="335"/>
      <c r="E84" s="335"/>
      <c r="F84" s="335"/>
      <c r="G84" s="335"/>
      <c r="H84" s="335"/>
      <c r="I84" s="335"/>
      <c r="K84" s="364"/>
      <c r="L84" s="364"/>
      <c r="M84" s="364"/>
      <c r="N84" s="364"/>
      <c r="O84" s="364"/>
      <c r="P84" s="364"/>
      <c r="Q84" s="364"/>
      <c r="R84" s="335"/>
      <c r="S84" s="335"/>
      <c r="T84" s="335"/>
      <c r="U84"/>
      <c r="V84"/>
      <c r="W84"/>
      <c r="X84"/>
      <c r="Y84"/>
      <c r="Z84"/>
      <c r="AA84"/>
      <c r="AB84"/>
      <c r="AC84"/>
      <c r="AD84"/>
      <c r="AE84"/>
      <c r="AF84"/>
      <c r="AG84"/>
      <c r="AH84"/>
      <c r="AI84"/>
      <c r="AJ84"/>
      <c r="AK84"/>
      <c r="AL84"/>
      <c r="AM84"/>
      <c r="AN84"/>
    </row>
    <row r="85" spans="1:40" ht="15.75" x14ac:dyDescent="0.25">
      <c r="A85" s="444" t="s">
        <v>384</v>
      </c>
      <c r="B85" s="444"/>
      <c r="C85" s="444"/>
      <c r="D85" s="444"/>
      <c r="E85" s="444"/>
      <c r="F85" s="444"/>
      <c r="G85" s="444"/>
      <c r="H85" s="444"/>
      <c r="I85" s="444"/>
      <c r="J85" s="444"/>
      <c r="K85" s="444"/>
      <c r="L85" s="444"/>
      <c r="M85" s="444"/>
      <c r="N85" s="444"/>
      <c r="O85" s="444"/>
      <c r="P85" s="444"/>
      <c r="Q85" s="444"/>
      <c r="R85" s="444"/>
      <c r="S85" s="444"/>
      <c r="T85" s="444"/>
      <c r="U85"/>
      <c r="V85"/>
      <c r="W85"/>
      <c r="X85"/>
      <c r="Y85"/>
      <c r="Z85"/>
      <c r="AA85"/>
      <c r="AB85"/>
      <c r="AC85"/>
      <c r="AD85"/>
      <c r="AE85"/>
      <c r="AF85"/>
      <c r="AG85"/>
      <c r="AH85"/>
      <c r="AI85"/>
      <c r="AJ85"/>
      <c r="AK85"/>
      <c r="AL85"/>
      <c r="AM85"/>
      <c r="AN85"/>
    </row>
    <row r="86" spans="1:40" ht="15.75" x14ac:dyDescent="0.25">
      <c r="A86" s="435"/>
      <c r="B86" s="435"/>
      <c r="C86" s="435"/>
      <c r="D86" s="435"/>
      <c r="E86" s="435"/>
      <c r="F86" s="435"/>
      <c r="G86" s="435"/>
      <c r="H86" s="435"/>
      <c r="I86" s="435"/>
      <c r="J86" s="435"/>
      <c r="K86" s="435"/>
      <c r="L86" s="435"/>
      <c r="M86" s="435"/>
      <c r="N86" s="435"/>
      <c r="O86" s="435"/>
      <c r="P86" s="435"/>
      <c r="Q86" s="435"/>
      <c r="R86" s="435"/>
      <c r="S86" s="435"/>
      <c r="T86" s="435"/>
      <c r="U86"/>
      <c r="V86"/>
      <c r="W86"/>
      <c r="X86"/>
      <c r="Y86"/>
      <c r="Z86"/>
      <c r="AA86"/>
      <c r="AB86"/>
      <c r="AC86"/>
      <c r="AD86"/>
      <c r="AE86"/>
      <c r="AF86"/>
      <c r="AG86"/>
      <c r="AH86"/>
      <c r="AI86"/>
      <c r="AJ86"/>
      <c r="AK86"/>
      <c r="AL86"/>
      <c r="AM86"/>
      <c r="AN86"/>
    </row>
    <row r="87" spans="1:40" x14ac:dyDescent="0.25">
      <c r="B87" s="373"/>
      <c r="G87" s="373"/>
      <c r="H87" s="373"/>
      <c r="J87" s="374"/>
      <c r="K87" s="374"/>
      <c r="L87" s="374"/>
      <c r="M87" s="374"/>
      <c r="N87" s="374"/>
      <c r="U87"/>
      <c r="V87"/>
      <c r="W87"/>
      <c r="X87"/>
      <c r="Y87"/>
      <c r="Z87"/>
      <c r="AA87"/>
      <c r="AB87"/>
      <c r="AC87"/>
      <c r="AD87"/>
      <c r="AE87"/>
      <c r="AF87"/>
      <c r="AG87"/>
      <c r="AH87"/>
      <c r="AI87"/>
      <c r="AJ87"/>
      <c r="AK87"/>
      <c r="AL87"/>
      <c r="AM87"/>
      <c r="AN87"/>
    </row>
    <row r="88" spans="1:40" x14ac:dyDescent="0.25">
      <c r="E88" s="375"/>
      <c r="O88" s="376"/>
      <c r="U88"/>
      <c r="V88"/>
      <c r="W88"/>
      <c r="X88"/>
      <c r="Y88"/>
      <c r="Z88"/>
      <c r="AA88"/>
      <c r="AB88"/>
      <c r="AC88"/>
      <c r="AD88"/>
      <c r="AE88"/>
      <c r="AF88"/>
      <c r="AG88"/>
      <c r="AH88"/>
      <c r="AI88"/>
      <c r="AJ88"/>
      <c r="AK88"/>
      <c r="AL88"/>
      <c r="AM88"/>
      <c r="AN88"/>
    </row>
    <row r="89" spans="1:40" x14ac:dyDescent="0.25">
      <c r="C89" s="373"/>
      <c r="D89" s="373"/>
      <c r="E89" s="373"/>
      <c r="F89" s="373"/>
      <c r="G89" s="373"/>
      <c r="H89" s="373"/>
      <c r="U89"/>
      <c r="V89"/>
      <c r="W89"/>
      <c r="X89"/>
      <c r="Y89"/>
      <c r="Z89"/>
      <c r="AA89"/>
      <c r="AB89"/>
      <c r="AC89"/>
      <c r="AD89"/>
      <c r="AE89"/>
      <c r="AF89"/>
      <c r="AG89"/>
      <c r="AH89"/>
      <c r="AI89"/>
      <c r="AJ89"/>
      <c r="AK89"/>
      <c r="AL89"/>
      <c r="AM89"/>
      <c r="AN89"/>
    </row>
    <row r="90" spans="1:40" x14ac:dyDescent="0.25">
      <c r="U90"/>
      <c r="V90"/>
      <c r="W90"/>
      <c r="X90"/>
      <c r="Y90"/>
      <c r="Z90"/>
      <c r="AA90"/>
      <c r="AB90"/>
      <c r="AC90"/>
      <c r="AD90"/>
      <c r="AE90"/>
      <c r="AF90"/>
      <c r="AG90"/>
      <c r="AH90"/>
      <c r="AI90"/>
      <c r="AJ90"/>
      <c r="AK90"/>
      <c r="AL90"/>
      <c r="AM90"/>
      <c r="AN90"/>
    </row>
    <row r="91" spans="1:40" x14ac:dyDescent="0.25">
      <c r="U91"/>
      <c r="V91"/>
      <c r="W91"/>
      <c r="X91"/>
      <c r="Y91"/>
      <c r="Z91"/>
      <c r="AA91"/>
      <c r="AB91"/>
      <c r="AC91"/>
      <c r="AD91"/>
      <c r="AE91"/>
      <c r="AF91"/>
      <c r="AG91"/>
      <c r="AH91"/>
      <c r="AI91"/>
      <c r="AJ91"/>
      <c r="AK91"/>
      <c r="AL91"/>
      <c r="AM91"/>
      <c r="AN91"/>
    </row>
    <row r="92" spans="1:40" x14ac:dyDescent="0.25">
      <c r="U92"/>
      <c r="V92"/>
      <c r="W92"/>
      <c r="X92"/>
      <c r="Y92"/>
      <c r="Z92"/>
      <c r="AA92"/>
      <c r="AB92"/>
      <c r="AC92"/>
      <c r="AD92"/>
      <c r="AE92"/>
      <c r="AF92"/>
      <c r="AG92"/>
      <c r="AH92"/>
      <c r="AI92"/>
      <c r="AJ92"/>
      <c r="AK92"/>
      <c r="AL92"/>
      <c r="AM92"/>
      <c r="AN92"/>
    </row>
    <row r="93" spans="1:40" x14ac:dyDescent="0.25">
      <c r="B93" s="373" t="s">
        <v>153</v>
      </c>
    </row>
    <row r="94" spans="1:40" x14ac:dyDescent="0.25">
      <c r="B94" s="373" t="str">
        <f>"Calibration Certificate No. "&amp;'Dash Board'!D18</f>
        <v>Calibration Certificate No. 03-2026-FORC-0087</v>
      </c>
    </row>
  </sheetData>
  <mergeCells count="82">
    <mergeCell ref="H19:T19"/>
    <mergeCell ref="A6:T6"/>
    <mergeCell ref="A7:T7"/>
    <mergeCell ref="H9:T9"/>
    <mergeCell ref="H10:T10"/>
    <mergeCell ref="H11:T11"/>
    <mergeCell ref="H12:T12"/>
    <mergeCell ref="H13:T13"/>
    <mergeCell ref="H14:T14"/>
    <mergeCell ref="H15:T15"/>
    <mergeCell ref="H17:T17"/>
    <mergeCell ref="H18:T18"/>
    <mergeCell ref="C24:F24"/>
    <mergeCell ref="G24:I24"/>
    <mergeCell ref="J24:K24"/>
    <mergeCell ref="L24:O24"/>
    <mergeCell ref="P24:R24"/>
    <mergeCell ref="C23:F23"/>
    <mergeCell ref="G23:I23"/>
    <mergeCell ref="J23:K23"/>
    <mergeCell ref="L23:O23"/>
    <mergeCell ref="P23:R23"/>
    <mergeCell ref="C26:F26"/>
    <mergeCell ref="G26:I26"/>
    <mergeCell ref="J26:K26"/>
    <mergeCell ref="L26:O26"/>
    <mergeCell ref="P26:R26"/>
    <mergeCell ref="C25:F25"/>
    <mergeCell ref="G25:I25"/>
    <mergeCell ref="J25:K25"/>
    <mergeCell ref="L25:O25"/>
    <mergeCell ref="P25:R25"/>
    <mergeCell ref="C28:F28"/>
    <mergeCell ref="G28:I28"/>
    <mergeCell ref="J28:K28"/>
    <mergeCell ref="L28:O28"/>
    <mergeCell ref="P28:R28"/>
    <mergeCell ref="C27:F27"/>
    <mergeCell ref="G27:I27"/>
    <mergeCell ref="J27:K27"/>
    <mergeCell ref="L27:O27"/>
    <mergeCell ref="P27:R27"/>
    <mergeCell ref="C30:F30"/>
    <mergeCell ref="G30:I30"/>
    <mergeCell ref="J30:K30"/>
    <mergeCell ref="L30:O30"/>
    <mergeCell ref="P30:R30"/>
    <mergeCell ref="C29:F29"/>
    <mergeCell ref="G29:I29"/>
    <mergeCell ref="J29:K29"/>
    <mergeCell ref="L29:O29"/>
    <mergeCell ref="P29:R29"/>
    <mergeCell ref="C31:F31"/>
    <mergeCell ref="A35:T35"/>
    <mergeCell ref="A37:R37"/>
    <mergeCell ref="A41:G41"/>
    <mergeCell ref="H41:J41"/>
    <mergeCell ref="K41:P41"/>
    <mergeCell ref="Q41:T41"/>
    <mergeCell ref="B62:R62"/>
    <mergeCell ref="A42:G42"/>
    <mergeCell ref="H42:J42"/>
    <mergeCell ref="K42:P42"/>
    <mergeCell ref="Q42:T42"/>
    <mergeCell ref="A47:R47"/>
    <mergeCell ref="A49:T49"/>
    <mergeCell ref="A50:T50"/>
    <mergeCell ref="A51:T51"/>
    <mergeCell ref="H55:I55"/>
    <mergeCell ref="H56:I56"/>
    <mergeCell ref="B60:T61"/>
    <mergeCell ref="A75:I75"/>
    <mergeCell ref="J77:N77"/>
    <mergeCell ref="J79:N79"/>
    <mergeCell ref="A85:T85"/>
    <mergeCell ref="B63:T63"/>
    <mergeCell ref="B64:R64"/>
    <mergeCell ref="A70:I70"/>
    <mergeCell ref="A71:I71"/>
    <mergeCell ref="A72:I72"/>
    <mergeCell ref="A74:I74"/>
    <mergeCell ref="M83:R83"/>
  </mergeCells>
  <pageMargins left="0.7" right="0.7" top="0.75" bottom="0" header="0.3" footer="0.5"/>
  <pageSetup paperSize="9" fitToHeight="2" orientation="portrait" r:id="rId1"/>
  <headerFooter differentFirst="1"/>
  <rowBreaks count="1" manualBreakCount="1">
    <brk id="3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5:AY87"/>
  <sheetViews>
    <sheetView view="pageBreakPreview" topLeftCell="A13" zoomScale="145" zoomScaleNormal="100" zoomScaleSheetLayoutView="145" zoomScalePageLayoutView="115" workbookViewId="0">
      <selection activeCell="N41" sqref="N41"/>
    </sheetView>
  </sheetViews>
  <sheetFormatPr defaultColWidth="9.140625" defaultRowHeight="15" x14ac:dyDescent="0.25"/>
  <cols>
    <col min="1" max="1" width="2.28515625" style="113" customWidth="1"/>
    <col min="2" max="6" width="3.42578125" style="113" customWidth="1"/>
    <col min="7" max="7" width="3.7109375" style="113" customWidth="1"/>
    <col min="8" max="8" width="3.140625" style="113" customWidth="1"/>
    <col min="9" max="9" width="1.140625" style="113" customWidth="1"/>
    <col min="10" max="10" width="3.42578125" style="113" customWidth="1"/>
    <col min="11" max="11" width="4.85546875" style="113" customWidth="1"/>
    <col min="12" max="13" width="3.42578125" style="113" customWidth="1"/>
    <col min="14" max="14" width="5.140625" style="113" customWidth="1"/>
    <col min="15" max="16" width="3.42578125" style="113" customWidth="1"/>
    <col min="17" max="17" width="4.7109375" style="113" customWidth="1"/>
    <col min="18" max="22" width="3.42578125" style="113" customWidth="1"/>
    <col min="23" max="23" width="3.140625" style="113" customWidth="1"/>
    <col min="24" max="24" width="3.7109375" style="113" customWidth="1"/>
    <col min="25" max="25" width="4.28515625" style="113" customWidth="1"/>
    <col min="26" max="36" width="3.7109375" style="113" customWidth="1"/>
    <col min="37" max="16384" width="9.140625" style="113"/>
  </cols>
  <sheetData>
    <row r="5" spans="1:27" ht="7.5" customHeight="1" x14ac:dyDescent="0.25"/>
    <row r="6" spans="1:27" ht="18.75" x14ac:dyDescent="0.25">
      <c r="B6" s="114"/>
      <c r="C6" s="114"/>
      <c r="D6" s="114"/>
      <c r="E6" s="114"/>
      <c r="F6" s="114"/>
      <c r="G6" s="114"/>
      <c r="H6" s="114"/>
      <c r="I6" s="114"/>
      <c r="J6" s="114"/>
      <c r="K6" s="114"/>
      <c r="L6" s="114"/>
      <c r="M6" s="114"/>
      <c r="N6" s="114"/>
      <c r="O6" s="114"/>
      <c r="P6" s="114"/>
      <c r="Q6" s="114"/>
      <c r="R6" s="114"/>
      <c r="S6" s="114"/>
      <c r="T6" s="668" t="s">
        <v>169</v>
      </c>
      <c r="U6" s="668"/>
      <c r="V6" s="668"/>
      <c r="W6" s="668"/>
      <c r="X6" s="668"/>
      <c r="Y6" s="668"/>
    </row>
    <row r="7" spans="1:27" ht="13.5" customHeight="1" x14ac:dyDescent="0.25">
      <c r="G7" s="669"/>
      <c r="H7" s="669"/>
      <c r="I7" s="669"/>
      <c r="J7" s="669"/>
      <c r="K7" s="669"/>
      <c r="L7" s="115"/>
      <c r="M7" s="114"/>
      <c r="N7" s="114"/>
      <c r="O7" s="114"/>
      <c r="P7" s="114"/>
      <c r="Q7" s="114"/>
      <c r="R7" s="114"/>
      <c r="S7" s="114"/>
      <c r="T7" s="670" t="s">
        <v>170</v>
      </c>
      <c r="U7" s="670"/>
      <c r="V7" s="670"/>
      <c r="W7" s="670"/>
      <c r="X7" s="670"/>
      <c r="Y7" s="670"/>
    </row>
    <row r="8" spans="1:27" ht="15" customHeight="1" x14ac:dyDescent="0.25"/>
    <row r="9" spans="1:27" ht="15" customHeight="1" x14ac:dyDescent="0.25">
      <c r="A9" s="671" t="s">
        <v>171</v>
      </c>
      <c r="B9" s="671"/>
      <c r="C9" s="671"/>
      <c r="D9" s="671"/>
      <c r="E9" s="671"/>
      <c r="F9" s="671"/>
      <c r="G9" s="671"/>
      <c r="H9" s="671"/>
      <c r="I9" s="671"/>
      <c r="J9" s="671"/>
      <c r="K9" s="671"/>
      <c r="L9" s="671"/>
      <c r="M9" s="671"/>
      <c r="N9" s="671"/>
      <c r="O9" s="671"/>
      <c r="P9" s="671"/>
      <c r="Q9" s="671"/>
      <c r="R9" s="671"/>
      <c r="S9" s="671"/>
      <c r="T9" s="671"/>
      <c r="U9" s="671"/>
      <c r="V9" s="671"/>
      <c r="W9" s="671"/>
      <c r="X9" s="671"/>
      <c r="Y9" s="671"/>
      <c r="Z9" s="116"/>
      <c r="AA9" s="116"/>
    </row>
    <row r="10" spans="1:27" ht="15.75" x14ac:dyDescent="0.25">
      <c r="A10" s="672" t="s">
        <v>172</v>
      </c>
      <c r="B10" s="672"/>
      <c r="C10" s="672"/>
      <c r="D10" s="672"/>
      <c r="E10" s="672"/>
      <c r="F10" s="672"/>
      <c r="G10" s="672"/>
      <c r="H10" s="672"/>
      <c r="I10" s="672"/>
      <c r="J10" s="672"/>
      <c r="K10" s="672"/>
      <c r="L10" s="672"/>
      <c r="M10" s="672"/>
      <c r="N10" s="672"/>
      <c r="O10" s="672"/>
      <c r="P10" s="672"/>
      <c r="Q10" s="672"/>
      <c r="R10" s="672"/>
      <c r="S10" s="672"/>
      <c r="T10" s="672"/>
      <c r="U10" s="672"/>
      <c r="V10" s="672"/>
      <c r="W10" s="672"/>
      <c r="X10" s="672"/>
      <c r="Y10" s="672"/>
      <c r="Z10" s="116"/>
      <c r="AA10" s="116"/>
    </row>
    <row r="11" spans="1:27" ht="15.75" x14ac:dyDescent="0.25">
      <c r="A11" s="117"/>
      <c r="B11" s="118"/>
      <c r="C11" s="118"/>
      <c r="D11" s="118"/>
      <c r="E11" s="117"/>
      <c r="F11" s="117"/>
      <c r="G11" s="118"/>
      <c r="H11" s="119"/>
      <c r="I11" s="673"/>
      <c r="J11" s="673"/>
      <c r="K11" s="673"/>
      <c r="L11" s="673"/>
      <c r="M11" s="673"/>
      <c r="N11" s="673"/>
      <c r="O11" s="673"/>
      <c r="P11" s="673"/>
      <c r="Q11" s="673"/>
      <c r="R11" s="673"/>
      <c r="S11" s="673"/>
      <c r="T11" s="673"/>
      <c r="U11" s="673"/>
      <c r="V11" s="673"/>
      <c r="W11" s="673"/>
      <c r="X11" s="117"/>
      <c r="Y11" s="117"/>
      <c r="Z11" s="116"/>
      <c r="AA11" s="116"/>
    </row>
    <row r="12" spans="1:27" ht="16.5" customHeight="1" x14ac:dyDescent="0.25">
      <c r="A12" s="120" t="s">
        <v>173</v>
      </c>
      <c r="B12" s="121"/>
      <c r="C12" s="122"/>
      <c r="D12" s="122"/>
      <c r="E12" s="122"/>
      <c r="F12" s="121"/>
      <c r="G12" s="122"/>
      <c r="H12" s="123"/>
      <c r="I12" s="124"/>
      <c r="J12" s="125" t="str">
        <f>'Dash Board'!$D$18</f>
        <v>03-2026-FORC-0087</v>
      </c>
      <c r="K12" s="122"/>
      <c r="L12" s="126"/>
      <c r="M12" s="126"/>
      <c r="N12" s="126"/>
      <c r="O12" s="121"/>
      <c r="P12" s="684"/>
      <c r="Q12" s="684"/>
      <c r="R12" s="684"/>
      <c r="S12" s="684"/>
      <c r="T12" s="121"/>
      <c r="U12" s="121"/>
      <c r="V12" s="121"/>
      <c r="W12" s="126"/>
      <c r="X12" s="121"/>
      <c r="Y12" s="127"/>
      <c r="Z12" s="116"/>
      <c r="AA12" s="116"/>
    </row>
    <row r="13" spans="1:27" ht="16.5" customHeight="1" x14ac:dyDescent="0.25">
      <c r="A13" s="120" t="s">
        <v>174</v>
      </c>
      <c r="B13" s="121"/>
      <c r="C13" s="122"/>
      <c r="D13" s="122"/>
      <c r="E13" s="122"/>
      <c r="F13" s="121"/>
      <c r="G13" s="122"/>
      <c r="H13" s="123"/>
      <c r="I13" s="128"/>
      <c r="J13" s="125" t="str">
        <f>'Dash Board'!$D$19</f>
        <v>Axle Weighing Scale</v>
      </c>
      <c r="K13" s="126"/>
      <c r="L13" s="129"/>
      <c r="M13" s="122"/>
      <c r="N13" s="121"/>
      <c r="O13" s="121"/>
      <c r="P13" s="121"/>
      <c r="Q13" s="121"/>
      <c r="R13" s="121"/>
      <c r="S13" s="121"/>
      <c r="T13" s="121"/>
      <c r="U13" s="121"/>
      <c r="V13" s="121"/>
      <c r="W13" s="121"/>
      <c r="X13" s="121"/>
      <c r="Y13" s="127"/>
      <c r="Z13" s="116"/>
      <c r="AA13" s="116"/>
    </row>
    <row r="14" spans="1:27" ht="16.5" customHeight="1" x14ac:dyDescent="0.25">
      <c r="A14" s="120" t="s">
        <v>175</v>
      </c>
      <c r="B14" s="121"/>
      <c r="C14" s="122"/>
      <c r="D14" s="122"/>
      <c r="E14" s="122"/>
      <c r="F14" s="121"/>
      <c r="G14" s="122"/>
      <c r="H14" s="123"/>
      <c r="I14" s="128"/>
      <c r="J14" s="125" t="str">
        <f>'Dash Board'!$D$23</f>
        <v>LS 630 W. PAD</v>
      </c>
      <c r="K14" s="130"/>
      <c r="L14" s="130"/>
      <c r="M14" s="130"/>
      <c r="N14" s="130"/>
      <c r="O14" s="130"/>
      <c r="P14" s="130"/>
      <c r="Q14" s="130"/>
      <c r="R14" s="130"/>
      <c r="S14" s="130"/>
      <c r="T14" s="126"/>
      <c r="U14" s="126"/>
      <c r="V14" s="126"/>
      <c r="W14" s="126"/>
      <c r="X14" s="121"/>
      <c r="Y14" s="127"/>
      <c r="Z14" s="116"/>
      <c r="AA14" s="116"/>
    </row>
    <row r="15" spans="1:27" ht="16.5" customHeight="1" x14ac:dyDescent="0.25">
      <c r="A15" s="120" t="s">
        <v>176</v>
      </c>
      <c r="B15" s="121"/>
      <c r="C15" s="122"/>
      <c r="D15" s="122"/>
      <c r="E15" s="122"/>
      <c r="F15" s="121"/>
      <c r="G15" s="122"/>
      <c r="H15" s="123"/>
      <c r="I15" s="128"/>
      <c r="J15" s="125" t="str">
        <f>'Dash Board'!$D$7</f>
        <v>SAVVICE CORPORATION</v>
      </c>
      <c r="K15" s="126"/>
      <c r="L15" s="126"/>
      <c r="M15" s="131"/>
      <c r="N15" s="131"/>
      <c r="O15" s="131"/>
      <c r="P15" s="131"/>
      <c r="Q15" s="131"/>
      <c r="R15" s="131"/>
      <c r="S15" s="131"/>
      <c r="T15" s="126"/>
      <c r="U15" s="126"/>
      <c r="V15" s="126"/>
      <c r="W15" s="126"/>
      <c r="X15" s="121"/>
      <c r="Y15" s="127"/>
      <c r="Z15" s="116"/>
      <c r="AA15" s="116"/>
    </row>
    <row r="16" spans="1:27" ht="15.75" customHeight="1" x14ac:dyDescent="0.25">
      <c r="A16" s="120" t="s">
        <v>56</v>
      </c>
      <c r="B16" s="121"/>
      <c r="C16" s="122"/>
      <c r="D16" s="122"/>
      <c r="E16" s="122"/>
      <c r="F16" s="121"/>
      <c r="G16" s="122"/>
      <c r="H16" s="123"/>
      <c r="I16" s="698" t="e">
        <f>"("&amp;ROUND(AVERAGE(Data!J43:K43),0)&amp;" ± 2) °C"</f>
        <v>#DIV/0!</v>
      </c>
      <c r="J16" s="699"/>
      <c r="K16" s="699"/>
      <c r="L16" s="699"/>
      <c r="M16" s="440"/>
      <c r="N16" s="440"/>
      <c r="O16" s="440"/>
      <c r="P16" s="440"/>
      <c r="Q16" s="441"/>
      <c r="R16" s="695" t="e">
        <f>"("&amp;ROUND(AVERAGE(Data!J44:K44),0)&amp;" ± 5) % "</f>
        <v>#DIV/0!</v>
      </c>
      <c r="S16" s="696"/>
      <c r="T16" s="696"/>
      <c r="U16" s="696"/>
      <c r="V16" s="696"/>
      <c r="W16" s="696"/>
      <c r="X16" s="696"/>
      <c r="Y16" s="697"/>
      <c r="Z16" s="116"/>
      <c r="AA16" s="116"/>
    </row>
    <row r="17" spans="1:51" ht="16.899999999999999" customHeight="1" x14ac:dyDescent="0.25">
      <c r="A17" s="120" t="s">
        <v>177</v>
      </c>
      <c r="B17" s="121"/>
      <c r="C17" s="122"/>
      <c r="D17" s="122"/>
      <c r="E17" s="122"/>
      <c r="F17" s="121"/>
      <c r="G17" s="122"/>
      <c r="H17" s="123"/>
      <c r="I17" s="128"/>
      <c r="J17" s="125" t="s">
        <v>188</v>
      </c>
      <c r="K17" s="130"/>
      <c r="L17" s="130"/>
      <c r="M17" s="130"/>
      <c r="N17" s="130"/>
      <c r="O17" s="130"/>
      <c r="P17" s="130"/>
      <c r="Q17" s="130"/>
      <c r="R17" s="130"/>
      <c r="S17" s="130"/>
      <c r="T17" s="130"/>
      <c r="U17" s="130"/>
      <c r="V17" s="132"/>
      <c r="W17" s="130"/>
      <c r="X17" s="130"/>
      <c r="Y17" s="133"/>
      <c r="Z17" s="116"/>
      <c r="AA17" s="116"/>
    </row>
    <row r="18" spans="1:51" ht="16.5" customHeight="1" x14ac:dyDescent="0.25">
      <c r="A18" s="120" t="s">
        <v>178</v>
      </c>
      <c r="B18" s="121"/>
      <c r="C18" s="122"/>
      <c r="D18" s="122"/>
      <c r="E18" s="122"/>
      <c r="F18" s="121"/>
      <c r="G18" s="122"/>
      <c r="H18" s="123"/>
      <c r="I18" s="134">
        <v>43152</v>
      </c>
      <c r="J18" s="685">
        <f>'Dash Board'!$D$17</f>
        <v>46134</v>
      </c>
      <c r="K18" s="685"/>
      <c r="L18" s="685"/>
      <c r="M18" s="685"/>
      <c r="N18" s="685"/>
      <c r="O18" s="685"/>
      <c r="P18" s="130"/>
      <c r="Q18" s="135" t="s">
        <v>179</v>
      </c>
      <c r="R18" s="130"/>
      <c r="S18" s="130"/>
      <c r="T18" s="130"/>
      <c r="U18" s="432" t="s">
        <v>312</v>
      </c>
      <c r="V18" s="121"/>
      <c r="W18" s="130"/>
      <c r="X18" s="130"/>
      <c r="Y18" s="133"/>
      <c r="Z18" s="136"/>
      <c r="AA18" s="116"/>
    </row>
    <row r="19" spans="1:51" ht="19.5" customHeight="1" x14ac:dyDescent="0.25">
      <c r="A19" s="137"/>
      <c r="B19" s="137"/>
      <c r="C19" s="116"/>
      <c r="D19" s="116"/>
      <c r="E19" s="116"/>
      <c r="F19" s="116"/>
      <c r="G19" s="116"/>
      <c r="H19" s="138"/>
      <c r="I19" s="115"/>
      <c r="J19" s="139"/>
      <c r="K19" s="139"/>
      <c r="L19" s="139"/>
      <c r="M19" s="139"/>
      <c r="N19" s="139"/>
      <c r="O19" s="139"/>
      <c r="P19" s="139"/>
      <c r="Q19" s="139"/>
      <c r="R19" s="139"/>
      <c r="S19" s="139"/>
      <c r="T19" s="139"/>
      <c r="U19" s="139"/>
      <c r="V19" s="139"/>
      <c r="W19" s="139"/>
      <c r="X19" s="139"/>
      <c r="Y19" s="139"/>
      <c r="Z19" s="136"/>
      <c r="AA19" s="116"/>
    </row>
    <row r="20" spans="1:51" ht="15" customHeight="1" x14ac:dyDescent="0.25">
      <c r="B20" s="140" t="s">
        <v>180</v>
      </c>
      <c r="C20" s="116"/>
      <c r="D20" s="116"/>
      <c r="E20" s="116"/>
      <c r="F20" s="116"/>
      <c r="G20" s="116"/>
      <c r="H20" s="138"/>
      <c r="I20" s="141"/>
      <c r="J20" s="138"/>
      <c r="K20" s="138"/>
      <c r="L20" s="138"/>
      <c r="M20" s="138"/>
      <c r="N20" s="138"/>
      <c r="O20" s="138"/>
      <c r="P20" s="138"/>
      <c r="Q20" s="138"/>
      <c r="R20" s="138"/>
      <c r="S20" s="138"/>
      <c r="T20" s="138"/>
      <c r="U20" s="138"/>
      <c r="V20" s="142"/>
      <c r="W20" s="136"/>
      <c r="X20" s="136"/>
      <c r="Y20" s="136"/>
      <c r="Z20" s="136"/>
      <c r="AA20" s="116"/>
    </row>
    <row r="21" spans="1:51" ht="8.25" customHeight="1" x14ac:dyDescent="0.25">
      <c r="B21" s="140"/>
      <c r="C21" s="116"/>
      <c r="D21" s="116"/>
      <c r="E21" s="116"/>
      <c r="F21" s="116"/>
      <c r="G21" s="116"/>
      <c r="H21" s="138"/>
      <c r="I21" s="141"/>
      <c r="J21" s="138"/>
      <c r="K21" s="138"/>
      <c r="L21" s="138"/>
      <c r="M21" s="138"/>
      <c r="N21" s="138"/>
      <c r="O21" s="138"/>
      <c r="P21" s="138"/>
      <c r="Q21" s="138"/>
      <c r="R21" s="138"/>
      <c r="S21" s="138"/>
      <c r="T21" s="138"/>
      <c r="U21" s="138"/>
      <c r="V21" s="142"/>
      <c r="W21" s="136"/>
      <c r="X21" s="136"/>
      <c r="Y21" s="136"/>
      <c r="Z21" s="136"/>
      <c r="AA21" s="116"/>
    </row>
    <row r="22" spans="1:51" ht="45.75" customHeight="1" x14ac:dyDescent="0.25">
      <c r="A22" s="686" t="s">
        <v>60</v>
      </c>
      <c r="B22" s="687"/>
      <c r="C22" s="687"/>
      <c r="D22" s="687"/>
      <c r="E22" s="687"/>
      <c r="F22" s="687"/>
      <c r="G22" s="687"/>
      <c r="H22" s="688"/>
      <c r="I22" s="689" t="s">
        <v>181</v>
      </c>
      <c r="J22" s="687"/>
      <c r="K22" s="687"/>
      <c r="L22" s="687"/>
      <c r="M22" s="687"/>
      <c r="N22" s="688"/>
      <c r="O22" s="689" t="s">
        <v>119</v>
      </c>
      <c r="P22" s="690"/>
      <c r="Q22" s="690"/>
      <c r="R22" s="690"/>
      <c r="S22" s="690"/>
      <c r="T22" s="690"/>
      <c r="U22" s="690"/>
      <c r="V22" s="691"/>
      <c r="W22" s="692" t="s">
        <v>182</v>
      </c>
      <c r="X22" s="693"/>
      <c r="Y22" s="694"/>
      <c r="Z22" s="136"/>
      <c r="AA22" s="116"/>
    </row>
    <row r="23" spans="1:51" ht="18" customHeight="1" x14ac:dyDescent="0.25">
      <c r="A23" s="675" t="s">
        <v>376</v>
      </c>
      <c r="B23" s="676"/>
      <c r="C23" s="676"/>
      <c r="D23" s="676"/>
      <c r="E23" s="676"/>
      <c r="F23" s="676"/>
      <c r="G23" s="676"/>
      <c r="H23" s="677"/>
      <c r="I23" s="678" t="str">
        <f>Data!C42</f>
        <v>- -</v>
      </c>
      <c r="J23" s="679"/>
      <c r="K23" s="679"/>
      <c r="L23" s="679"/>
      <c r="M23" s="679"/>
      <c r="N23" s="680"/>
      <c r="O23" s="675" t="str">
        <f>"SN "&amp;Data!C44</f>
        <v>SN - -</v>
      </c>
      <c r="P23" s="676"/>
      <c r="Q23" s="676"/>
      <c r="R23" s="676"/>
      <c r="S23" s="676"/>
      <c r="T23" s="676"/>
      <c r="U23" s="676"/>
      <c r="V23" s="677"/>
      <c r="W23" s="681"/>
      <c r="X23" s="682"/>
      <c r="Y23" s="683"/>
      <c r="Z23" s="143"/>
      <c r="AA23" s="116"/>
    </row>
    <row r="24" spans="1:51" s="144" customFormat="1" ht="18" customHeight="1" x14ac:dyDescent="0.25">
      <c r="A24" s="675" t="s">
        <v>183</v>
      </c>
      <c r="B24" s="676"/>
      <c r="C24" s="676"/>
      <c r="D24" s="676"/>
      <c r="E24" s="676"/>
      <c r="F24" s="676"/>
      <c r="G24" s="676"/>
      <c r="H24" s="677"/>
      <c r="I24" s="675" t="s">
        <v>184</v>
      </c>
      <c r="J24" s="676"/>
      <c r="K24" s="676"/>
      <c r="L24" s="676"/>
      <c r="M24" s="676"/>
      <c r="N24" s="677"/>
      <c r="O24" s="675" t="s">
        <v>185</v>
      </c>
      <c r="P24" s="676"/>
      <c r="Q24" s="676"/>
      <c r="R24" s="676"/>
      <c r="S24" s="676"/>
      <c r="T24" s="676"/>
      <c r="U24" s="676"/>
      <c r="V24" s="677"/>
      <c r="W24" s="705"/>
      <c r="X24" s="679"/>
      <c r="Y24" s="680"/>
      <c r="AD24" s="674"/>
      <c r="AE24" s="674"/>
      <c r="AF24" s="674"/>
      <c r="AG24" s="674"/>
      <c r="AH24" s="674"/>
      <c r="AI24" s="674"/>
      <c r="AJ24" s="674"/>
      <c r="AK24" s="674"/>
      <c r="AL24" s="674"/>
      <c r="AM24" s="674"/>
      <c r="AN24" s="674"/>
      <c r="AO24" s="674"/>
      <c r="AP24" s="674"/>
      <c r="AQ24" s="674"/>
      <c r="AR24" s="674"/>
      <c r="AS24" s="674"/>
      <c r="AT24" s="674"/>
      <c r="AU24" s="700"/>
      <c r="AV24" s="700"/>
      <c r="AW24" s="700"/>
      <c r="AX24" s="700"/>
      <c r="AY24" s="700"/>
    </row>
    <row r="25" spans="1:51" ht="18" customHeight="1" x14ac:dyDescent="0.25">
      <c r="A25" s="675"/>
      <c r="B25" s="676"/>
      <c r="C25" s="676"/>
      <c r="D25" s="676"/>
      <c r="E25" s="676"/>
      <c r="F25" s="676"/>
      <c r="G25" s="676"/>
      <c r="H25" s="677"/>
      <c r="I25" s="675"/>
      <c r="J25" s="676"/>
      <c r="K25" s="676"/>
      <c r="L25" s="676"/>
      <c r="M25" s="676"/>
      <c r="N25" s="677"/>
      <c r="O25" s="675"/>
      <c r="P25" s="676"/>
      <c r="Q25" s="676"/>
      <c r="R25" s="676"/>
      <c r="S25" s="676"/>
      <c r="T25" s="676"/>
      <c r="U25" s="676"/>
      <c r="V25" s="677"/>
      <c r="W25" s="701"/>
      <c r="X25" s="702"/>
      <c r="Y25" s="703"/>
      <c r="Z25" s="143"/>
      <c r="AA25" s="116"/>
      <c r="AD25" s="704"/>
      <c r="AE25" s="704"/>
      <c r="AF25" s="704"/>
      <c r="AG25" s="704"/>
      <c r="AH25" s="704"/>
      <c r="AI25" s="704"/>
      <c r="AJ25" s="704"/>
      <c r="AK25" s="704"/>
      <c r="AL25" s="704"/>
      <c r="AM25" s="704"/>
      <c r="AN25" s="704"/>
      <c r="AO25" s="704"/>
      <c r="AP25" s="704"/>
      <c r="AQ25" s="704"/>
      <c r="AR25" s="704"/>
      <c r="AS25" s="704"/>
      <c r="AT25" s="704"/>
      <c r="AU25" s="704"/>
      <c r="AV25" s="704"/>
      <c r="AW25" s="704"/>
      <c r="AX25" s="704"/>
      <c r="AY25" s="704"/>
    </row>
    <row r="26" spans="1:51" ht="18" customHeight="1" x14ac:dyDescent="0.25">
      <c r="A26" s="675"/>
      <c r="B26" s="676"/>
      <c r="C26" s="676"/>
      <c r="D26" s="676"/>
      <c r="E26" s="676"/>
      <c r="F26" s="676"/>
      <c r="G26" s="676"/>
      <c r="H26" s="677"/>
      <c r="I26" s="675"/>
      <c r="J26" s="676"/>
      <c r="K26" s="676"/>
      <c r="L26" s="676"/>
      <c r="M26" s="676"/>
      <c r="N26" s="677"/>
      <c r="O26" s="675"/>
      <c r="P26" s="676"/>
      <c r="Q26" s="676"/>
      <c r="R26" s="676"/>
      <c r="S26" s="676"/>
      <c r="T26" s="676"/>
      <c r="U26" s="676"/>
      <c r="V26" s="677"/>
      <c r="W26" s="701"/>
      <c r="X26" s="702"/>
      <c r="Y26" s="703"/>
      <c r="Z26" s="143"/>
      <c r="AA26" s="116"/>
      <c r="AD26" s="706"/>
      <c r="AE26" s="706"/>
      <c r="AF26" s="706"/>
      <c r="AG26" s="706"/>
      <c r="AH26" s="706"/>
      <c r="AI26" s="706"/>
      <c r="AJ26" s="707"/>
      <c r="AK26" s="707"/>
      <c r="AL26" s="707"/>
      <c r="AM26" s="707"/>
      <c r="AN26" s="707"/>
      <c r="AO26" s="707"/>
      <c r="AP26" s="706"/>
      <c r="AQ26" s="706"/>
      <c r="AR26" s="706"/>
      <c r="AS26" s="706"/>
      <c r="AT26" s="706"/>
      <c r="AU26" s="706"/>
      <c r="AV26" s="706"/>
      <c r="AW26" s="706"/>
      <c r="AX26" s="706"/>
      <c r="AY26" s="706"/>
    </row>
    <row r="27" spans="1:51" ht="18" customHeight="1" x14ac:dyDescent="0.25">
      <c r="A27" s="675"/>
      <c r="B27" s="676"/>
      <c r="C27" s="676"/>
      <c r="D27" s="676"/>
      <c r="E27" s="676"/>
      <c r="F27" s="676"/>
      <c r="G27" s="676"/>
      <c r="H27" s="677"/>
      <c r="I27" s="675"/>
      <c r="J27" s="676"/>
      <c r="K27" s="676"/>
      <c r="L27" s="676"/>
      <c r="M27" s="676"/>
      <c r="N27" s="677"/>
      <c r="O27" s="675"/>
      <c r="P27" s="676"/>
      <c r="Q27" s="676"/>
      <c r="R27" s="676"/>
      <c r="S27" s="676"/>
      <c r="T27" s="676"/>
      <c r="U27" s="676"/>
      <c r="V27" s="677"/>
      <c r="W27" s="701"/>
      <c r="X27" s="702"/>
      <c r="Y27" s="703"/>
      <c r="Z27" s="143"/>
      <c r="AA27" s="116"/>
      <c r="AD27" s="706"/>
      <c r="AE27" s="706"/>
      <c r="AF27" s="706"/>
      <c r="AG27" s="706"/>
      <c r="AH27" s="706"/>
      <c r="AI27" s="706"/>
      <c r="AJ27" s="707"/>
      <c r="AK27" s="707"/>
      <c r="AL27" s="707"/>
      <c r="AM27" s="707"/>
      <c r="AN27" s="707"/>
      <c r="AO27" s="707"/>
      <c r="AP27" s="706"/>
      <c r="AQ27" s="706"/>
      <c r="AR27" s="706"/>
      <c r="AS27" s="706"/>
      <c r="AT27" s="706"/>
      <c r="AU27" s="706"/>
      <c r="AV27" s="706"/>
      <c r="AW27" s="706"/>
      <c r="AX27" s="706"/>
      <c r="AY27" s="706"/>
    </row>
    <row r="28" spans="1:51" ht="18" customHeight="1" x14ac:dyDescent="0.25">
      <c r="A28" s="675"/>
      <c r="B28" s="676"/>
      <c r="C28" s="676"/>
      <c r="D28" s="676"/>
      <c r="E28" s="676"/>
      <c r="F28" s="676"/>
      <c r="G28" s="676"/>
      <c r="H28" s="677"/>
      <c r="I28" s="675"/>
      <c r="J28" s="676"/>
      <c r="K28" s="676"/>
      <c r="L28" s="676"/>
      <c r="M28" s="676"/>
      <c r="N28" s="677"/>
      <c r="O28" s="675"/>
      <c r="P28" s="676"/>
      <c r="Q28" s="676"/>
      <c r="R28" s="676"/>
      <c r="S28" s="676"/>
      <c r="T28" s="676"/>
      <c r="U28" s="676"/>
      <c r="V28" s="677"/>
      <c r="W28" s="701"/>
      <c r="X28" s="702"/>
      <c r="Y28" s="703"/>
      <c r="Z28" s="143"/>
      <c r="AA28" s="116"/>
      <c r="AD28" s="706"/>
      <c r="AE28" s="706"/>
      <c r="AF28" s="706"/>
      <c r="AG28" s="706"/>
      <c r="AH28" s="706"/>
      <c r="AI28" s="706"/>
      <c r="AJ28" s="707"/>
      <c r="AK28" s="707"/>
      <c r="AL28" s="707"/>
      <c r="AM28" s="707"/>
      <c r="AN28" s="707"/>
      <c r="AO28" s="707"/>
      <c r="AP28" s="706"/>
      <c r="AQ28" s="706"/>
      <c r="AR28" s="706"/>
      <c r="AS28" s="706"/>
      <c r="AT28" s="706"/>
      <c r="AU28" s="706"/>
      <c r="AV28" s="706"/>
      <c r="AW28" s="706"/>
      <c r="AX28" s="706"/>
      <c r="AY28" s="706"/>
    </row>
    <row r="29" spans="1:51" ht="18" customHeight="1" x14ac:dyDescent="0.25">
      <c r="A29" s="675"/>
      <c r="B29" s="676"/>
      <c r="C29" s="676"/>
      <c r="D29" s="676"/>
      <c r="E29" s="676"/>
      <c r="F29" s="676"/>
      <c r="G29" s="676"/>
      <c r="H29" s="677"/>
      <c r="I29" s="675"/>
      <c r="J29" s="676"/>
      <c r="K29" s="676"/>
      <c r="L29" s="676"/>
      <c r="M29" s="676"/>
      <c r="N29" s="677"/>
      <c r="O29" s="675"/>
      <c r="P29" s="676"/>
      <c r="Q29" s="676"/>
      <c r="R29" s="676"/>
      <c r="S29" s="676"/>
      <c r="T29" s="676"/>
      <c r="U29" s="676"/>
      <c r="V29" s="677"/>
      <c r="W29" s="701"/>
      <c r="X29" s="702"/>
      <c r="Y29" s="703"/>
      <c r="Z29" s="143"/>
      <c r="AA29" s="116"/>
      <c r="AD29" s="706"/>
      <c r="AE29" s="706"/>
      <c r="AF29" s="706"/>
      <c r="AG29" s="706"/>
      <c r="AH29" s="706"/>
      <c r="AI29" s="706"/>
      <c r="AJ29" s="707"/>
      <c r="AK29" s="707"/>
      <c r="AL29" s="707"/>
      <c r="AM29" s="707"/>
      <c r="AN29" s="707"/>
      <c r="AO29" s="707"/>
      <c r="AP29" s="706"/>
      <c r="AQ29" s="706"/>
      <c r="AR29" s="706"/>
      <c r="AS29" s="706"/>
      <c r="AT29" s="706"/>
      <c r="AU29" s="706"/>
      <c r="AV29" s="706"/>
      <c r="AW29" s="706"/>
      <c r="AX29" s="706"/>
      <c r="AY29" s="706"/>
    </row>
    <row r="30" spans="1:51" ht="18" customHeight="1" x14ac:dyDescent="0.25">
      <c r="A30" s="675"/>
      <c r="B30" s="676"/>
      <c r="C30" s="676"/>
      <c r="D30" s="676"/>
      <c r="E30" s="676"/>
      <c r="F30" s="676"/>
      <c r="G30" s="676"/>
      <c r="H30" s="677"/>
      <c r="I30" s="675"/>
      <c r="J30" s="676"/>
      <c r="K30" s="676"/>
      <c r="L30" s="676"/>
      <c r="M30" s="676"/>
      <c r="N30" s="677"/>
      <c r="O30" s="675"/>
      <c r="P30" s="676"/>
      <c r="Q30" s="676"/>
      <c r="R30" s="676"/>
      <c r="S30" s="676"/>
      <c r="T30" s="676"/>
      <c r="U30" s="676"/>
      <c r="V30" s="677"/>
      <c r="W30" s="701"/>
      <c r="X30" s="702"/>
      <c r="Y30" s="703"/>
      <c r="Z30" s="143"/>
      <c r="AA30" s="116"/>
      <c r="AD30" s="706"/>
      <c r="AE30" s="706"/>
      <c r="AF30" s="706"/>
      <c r="AG30" s="706"/>
      <c r="AH30" s="706"/>
      <c r="AI30" s="706"/>
      <c r="AJ30" s="707"/>
      <c r="AK30" s="707"/>
      <c r="AL30" s="707"/>
      <c r="AM30" s="707"/>
      <c r="AN30" s="707"/>
      <c r="AO30" s="707"/>
      <c r="AP30" s="706"/>
      <c r="AQ30" s="706"/>
      <c r="AR30" s="706"/>
      <c r="AS30" s="706"/>
      <c r="AT30" s="706"/>
      <c r="AU30" s="706"/>
      <c r="AV30" s="706"/>
      <c r="AW30" s="706"/>
      <c r="AX30" s="706"/>
      <c r="AY30" s="706"/>
    </row>
    <row r="31" spans="1:51" ht="19.149999999999999" customHeight="1" x14ac:dyDescent="0.25">
      <c r="B31" s="706"/>
      <c r="C31" s="706"/>
      <c r="D31" s="706"/>
      <c r="E31" s="706"/>
      <c r="F31" s="706"/>
      <c r="G31" s="706"/>
      <c r="H31" s="707"/>
      <c r="I31" s="707"/>
      <c r="J31" s="707"/>
      <c r="K31" s="707"/>
      <c r="L31" s="707"/>
      <c r="M31" s="707"/>
      <c r="N31" s="706"/>
      <c r="O31" s="706"/>
      <c r="P31" s="706"/>
      <c r="Q31" s="706"/>
      <c r="R31" s="706"/>
      <c r="S31" s="707"/>
      <c r="T31" s="707"/>
      <c r="U31" s="707"/>
      <c r="V31" s="707"/>
      <c r="W31" s="707"/>
      <c r="X31" s="707"/>
      <c r="Y31" s="116"/>
      <c r="Z31" s="116"/>
      <c r="AA31" s="116"/>
      <c r="AD31" s="706"/>
      <c r="AE31" s="706"/>
      <c r="AF31" s="706"/>
      <c r="AG31" s="706"/>
      <c r="AH31" s="706"/>
      <c r="AI31" s="706"/>
      <c r="AJ31" s="707"/>
      <c r="AK31" s="707"/>
      <c r="AL31" s="707"/>
      <c r="AM31" s="707"/>
      <c r="AN31" s="707"/>
      <c r="AO31" s="707"/>
      <c r="AP31" s="706"/>
      <c r="AQ31" s="706"/>
      <c r="AR31" s="706"/>
      <c r="AS31" s="706"/>
      <c r="AT31" s="706"/>
      <c r="AU31" s="706"/>
      <c r="AV31" s="706"/>
      <c r="AW31" s="706"/>
      <c r="AX31" s="706"/>
      <c r="AY31" s="706"/>
    </row>
    <row r="32" spans="1:51" ht="19.149999999999999" customHeight="1" x14ac:dyDescent="0.25">
      <c r="B32" s="145" t="s">
        <v>118</v>
      </c>
      <c r="C32" s="145"/>
      <c r="D32" s="145"/>
      <c r="E32" s="145"/>
      <c r="F32" s="145"/>
      <c r="G32" s="145"/>
      <c r="H32" s="145"/>
      <c r="I32" s="145"/>
      <c r="J32" s="146"/>
      <c r="K32" s="147"/>
      <c r="L32" s="147"/>
      <c r="M32" s="147"/>
      <c r="N32" s="706"/>
      <c r="O32" s="706"/>
      <c r="P32" s="706"/>
      <c r="Q32" s="706"/>
      <c r="R32" s="706"/>
      <c r="S32" s="707"/>
      <c r="T32" s="707"/>
      <c r="U32" s="707"/>
      <c r="V32" s="707"/>
      <c r="W32" s="707"/>
      <c r="X32" s="707"/>
      <c r="Y32" s="116"/>
      <c r="Z32" s="116"/>
      <c r="AA32" s="116"/>
    </row>
    <row r="33" spans="1:37" ht="15" customHeight="1" x14ac:dyDescent="0.25">
      <c r="A33" s="708"/>
      <c r="B33" s="709"/>
      <c r="C33" s="709"/>
      <c r="D33" s="709"/>
      <c r="E33" s="709"/>
      <c r="F33" s="709"/>
      <c r="G33" s="709"/>
      <c r="H33" s="709"/>
      <c r="I33" s="709"/>
      <c r="J33" s="709"/>
      <c r="K33" s="709"/>
      <c r="L33" s="709"/>
      <c r="M33" s="709"/>
      <c r="N33" s="709"/>
      <c r="O33" s="709"/>
      <c r="P33" s="709"/>
      <c r="Q33" s="709"/>
      <c r="R33" s="709"/>
      <c r="S33" s="709"/>
      <c r="T33" s="709"/>
      <c r="U33" s="709"/>
      <c r="V33" s="709"/>
      <c r="W33" s="709"/>
      <c r="X33" s="709"/>
      <c r="Y33" s="710"/>
      <c r="Z33" s="116"/>
      <c r="AA33" s="116"/>
    </row>
    <row r="34" spans="1:37" ht="15" customHeight="1" x14ac:dyDescent="0.25">
      <c r="A34" s="711"/>
      <c r="B34" s="712"/>
      <c r="C34" s="712"/>
      <c r="D34" s="712"/>
      <c r="E34" s="712"/>
      <c r="F34" s="712"/>
      <c r="G34" s="712"/>
      <c r="H34" s="712"/>
      <c r="I34" s="712"/>
      <c r="J34" s="712"/>
      <c r="K34" s="712"/>
      <c r="L34" s="712"/>
      <c r="M34" s="712"/>
      <c r="N34" s="712"/>
      <c r="O34" s="712"/>
      <c r="P34" s="712"/>
      <c r="Q34" s="712"/>
      <c r="R34" s="712"/>
      <c r="S34" s="712"/>
      <c r="T34" s="712"/>
      <c r="U34" s="712"/>
      <c r="V34" s="712"/>
      <c r="W34" s="712"/>
      <c r="X34" s="712"/>
      <c r="Y34" s="713"/>
      <c r="Z34" s="116"/>
      <c r="AA34" s="116"/>
    </row>
    <row r="35" spans="1:37" ht="16.5" x14ac:dyDescent="0.25">
      <c r="A35" s="711"/>
      <c r="B35" s="712"/>
      <c r="C35" s="712"/>
      <c r="D35" s="712"/>
      <c r="E35" s="712"/>
      <c r="F35" s="712"/>
      <c r="G35" s="712"/>
      <c r="H35" s="712"/>
      <c r="I35" s="712"/>
      <c r="J35" s="712"/>
      <c r="K35" s="712"/>
      <c r="L35" s="712"/>
      <c r="M35" s="712"/>
      <c r="N35" s="712"/>
      <c r="O35" s="712"/>
      <c r="P35" s="712"/>
      <c r="Q35" s="712"/>
      <c r="R35" s="712"/>
      <c r="S35" s="712"/>
      <c r="T35" s="712"/>
      <c r="U35" s="712"/>
      <c r="V35" s="712"/>
      <c r="W35" s="712"/>
      <c r="X35" s="712"/>
      <c r="Y35" s="713"/>
      <c r="Z35" s="143"/>
      <c r="AA35" s="116"/>
    </row>
    <row r="36" spans="1:37" ht="12" customHeight="1" x14ac:dyDescent="0.25">
      <c r="A36" s="711"/>
      <c r="B36" s="712"/>
      <c r="C36" s="712"/>
      <c r="D36" s="712"/>
      <c r="E36" s="712"/>
      <c r="F36" s="712"/>
      <c r="G36" s="712"/>
      <c r="H36" s="712"/>
      <c r="I36" s="712"/>
      <c r="J36" s="712"/>
      <c r="K36" s="712"/>
      <c r="L36" s="712"/>
      <c r="M36" s="712"/>
      <c r="N36" s="712"/>
      <c r="O36" s="712"/>
      <c r="P36" s="712"/>
      <c r="Q36" s="712"/>
      <c r="R36" s="712"/>
      <c r="S36" s="712"/>
      <c r="T36" s="712"/>
      <c r="U36" s="712"/>
      <c r="V36" s="712"/>
      <c r="W36" s="712"/>
      <c r="X36" s="712"/>
      <c r="Y36" s="713"/>
    </row>
    <row r="37" spans="1:37" ht="12" customHeight="1" x14ac:dyDescent="0.25">
      <c r="A37" s="711"/>
      <c r="B37" s="712"/>
      <c r="C37" s="712"/>
      <c r="D37" s="712"/>
      <c r="E37" s="712"/>
      <c r="F37" s="712"/>
      <c r="G37" s="712"/>
      <c r="H37" s="712"/>
      <c r="I37" s="712"/>
      <c r="J37" s="712"/>
      <c r="K37" s="712"/>
      <c r="L37" s="712"/>
      <c r="M37" s="712"/>
      <c r="N37" s="712"/>
      <c r="O37" s="712"/>
      <c r="P37" s="712"/>
      <c r="Q37" s="712"/>
      <c r="R37" s="712"/>
      <c r="S37" s="712"/>
      <c r="T37" s="712"/>
      <c r="U37" s="712"/>
      <c r="V37" s="712"/>
      <c r="W37" s="712"/>
      <c r="X37" s="712"/>
      <c r="Y37" s="713"/>
    </row>
    <row r="38" spans="1:37" ht="27" customHeight="1" x14ac:dyDescent="0.25">
      <c r="A38" s="714"/>
      <c r="B38" s="715"/>
      <c r="C38" s="715"/>
      <c r="D38" s="715"/>
      <c r="E38" s="715"/>
      <c r="F38" s="715"/>
      <c r="G38" s="715"/>
      <c r="H38" s="715"/>
      <c r="I38" s="715"/>
      <c r="J38" s="715"/>
      <c r="K38" s="715"/>
      <c r="L38" s="715"/>
      <c r="M38" s="715"/>
      <c r="N38" s="715"/>
      <c r="O38" s="715"/>
      <c r="P38" s="715"/>
      <c r="Q38" s="715"/>
      <c r="R38" s="715"/>
      <c r="S38" s="715"/>
      <c r="T38" s="715"/>
      <c r="U38" s="715"/>
      <c r="V38" s="715"/>
      <c r="W38" s="715"/>
      <c r="X38" s="715"/>
      <c r="Y38" s="716"/>
    </row>
    <row r="39" spans="1:37" ht="16.5" x14ac:dyDescent="0.25">
      <c r="Z39" s="148"/>
      <c r="AA39" s="116"/>
    </row>
    <row r="40" spans="1:37" ht="16.5" x14ac:dyDescent="0.25">
      <c r="Q40" s="717" t="s">
        <v>186</v>
      </c>
      <c r="R40" s="718"/>
      <c r="S40" s="718"/>
      <c r="T40" s="718"/>
      <c r="U40" s="718"/>
      <c r="V40" s="718"/>
      <c r="W40" s="718"/>
      <c r="X40" s="718"/>
      <c r="Y40" s="719"/>
      <c r="Z40" s="148"/>
      <c r="AA40" s="116"/>
    </row>
    <row r="41" spans="1:37" ht="16.5" x14ac:dyDescent="0.25">
      <c r="A41" s="149"/>
      <c r="B41" s="149"/>
      <c r="C41" s="149"/>
      <c r="D41" s="149"/>
      <c r="E41" s="149"/>
      <c r="F41" s="149"/>
      <c r="G41" s="149"/>
      <c r="H41" s="149"/>
      <c r="I41" s="149"/>
      <c r="J41" s="149"/>
      <c r="K41" s="149"/>
      <c r="L41" s="149"/>
      <c r="M41" s="149"/>
      <c r="N41" s="149"/>
      <c r="O41" s="149"/>
      <c r="P41" s="149"/>
      <c r="Q41" s="720"/>
      <c r="R41" s="721"/>
      <c r="S41" s="721"/>
      <c r="T41" s="721"/>
      <c r="U41" s="721"/>
      <c r="V41" s="721"/>
      <c r="W41" s="721"/>
      <c r="X41" s="721"/>
      <c r="Y41" s="722"/>
      <c r="Z41" s="148"/>
      <c r="AA41" s="116"/>
    </row>
    <row r="42" spans="1:37" ht="16.5" x14ac:dyDescent="0.25">
      <c r="A42" s="149"/>
      <c r="B42" s="149"/>
      <c r="C42" s="149"/>
      <c r="D42" s="149"/>
      <c r="E42" s="149"/>
      <c r="F42" s="149"/>
      <c r="G42" s="149"/>
      <c r="H42" s="149"/>
      <c r="I42" s="149"/>
      <c r="J42" s="149"/>
      <c r="K42" s="149"/>
      <c r="L42" s="149"/>
      <c r="M42" s="149"/>
      <c r="N42" s="149"/>
      <c r="O42" s="149"/>
      <c r="P42" s="149"/>
      <c r="Q42" s="720"/>
      <c r="R42" s="721"/>
      <c r="S42" s="721"/>
      <c r="T42" s="721"/>
      <c r="U42" s="721"/>
      <c r="V42" s="721"/>
      <c r="W42" s="721"/>
      <c r="X42" s="721"/>
      <c r="Y42" s="722"/>
      <c r="Z42" s="148"/>
      <c r="AA42" s="116"/>
    </row>
    <row r="43" spans="1:37" ht="15.75" x14ac:dyDescent="0.25">
      <c r="A43" s="116"/>
      <c r="B43" s="137"/>
      <c r="C43" s="116"/>
      <c r="D43" s="116"/>
      <c r="E43" s="116"/>
      <c r="F43" s="116"/>
      <c r="G43" s="116"/>
      <c r="H43" s="116"/>
      <c r="I43" s="116"/>
      <c r="J43" s="116"/>
      <c r="K43" s="116"/>
      <c r="L43" s="116"/>
      <c r="M43" s="116"/>
      <c r="N43" s="116"/>
      <c r="O43" s="116"/>
      <c r="P43" s="116"/>
      <c r="Q43" s="723"/>
      <c r="R43" s="724"/>
      <c r="S43" s="724"/>
      <c r="T43" s="724"/>
      <c r="U43" s="724"/>
      <c r="V43" s="724"/>
      <c r="W43" s="724"/>
      <c r="X43" s="724"/>
      <c r="Y43" s="725"/>
      <c r="Z43" s="116"/>
      <c r="AA43" s="116"/>
    </row>
    <row r="44" spans="1:37" ht="15.75" x14ac:dyDescent="0.25">
      <c r="A44" s="116"/>
      <c r="B44" s="137"/>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row>
    <row r="45" spans="1:37" x14ac:dyDescent="0.2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spans="1:37" x14ac:dyDescent="0.25">
      <c r="A46" s="730"/>
      <c r="B46" s="730"/>
      <c r="C46" s="730"/>
      <c r="D46" s="730"/>
      <c r="E46" s="730"/>
      <c r="F46" s="730"/>
      <c r="G46" s="730"/>
      <c r="H46" s="730"/>
      <c r="I46" s="730"/>
      <c r="J46" s="730"/>
      <c r="K46" s="730"/>
      <c r="L46" s="730"/>
      <c r="M46" s="730"/>
      <c r="N46" s="730"/>
      <c r="O46" s="730"/>
      <c r="P46" s="730"/>
      <c r="Q46" s="730"/>
      <c r="R46" s="730"/>
      <c r="S46" s="730"/>
      <c r="T46" s="730"/>
      <c r="U46" s="730"/>
      <c r="V46" s="730"/>
      <c r="W46" s="730"/>
      <c r="X46" s="730"/>
      <c r="Y46" s="730"/>
      <c r="Z46" s="60"/>
      <c r="AA46" s="60"/>
    </row>
    <row r="47" spans="1:37" ht="56.25" customHeight="1" x14ac:dyDescent="0.25">
      <c r="A47" s="730"/>
      <c r="B47" s="730"/>
      <c r="C47" s="730"/>
      <c r="D47" s="730"/>
      <c r="E47" s="730"/>
      <c r="F47" s="730"/>
      <c r="G47" s="730"/>
      <c r="H47" s="730"/>
      <c r="I47" s="730"/>
      <c r="J47" s="730"/>
      <c r="K47" s="730"/>
      <c r="L47" s="730"/>
      <c r="M47" s="730"/>
      <c r="N47" s="730"/>
      <c r="O47" s="730"/>
      <c r="P47" s="730"/>
      <c r="Q47" s="730"/>
      <c r="R47" s="730"/>
      <c r="S47" s="730"/>
      <c r="T47" s="730"/>
      <c r="U47" s="730"/>
      <c r="V47" s="730"/>
      <c r="W47" s="730"/>
      <c r="X47" s="730"/>
      <c r="Y47" s="730"/>
      <c r="Z47" s="60"/>
      <c r="AA47" s="60"/>
      <c r="AK47" s="150"/>
    </row>
    <row r="48" spans="1:37" ht="15.75" x14ac:dyDescent="0.2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K48" s="150"/>
    </row>
    <row r="49" spans="1:27" ht="15" customHeight="1" x14ac:dyDescent="0.25">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spans="1:27" x14ac:dyDescent="0.25">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spans="1:27" ht="8.25" customHeight="1" x14ac:dyDescent="0.25">
      <c r="A51" s="137"/>
      <c r="B51" s="137"/>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row>
    <row r="52" spans="1:27" ht="63" customHeight="1" x14ac:dyDescent="0.25">
      <c r="A52" s="726"/>
      <c r="B52" s="726"/>
      <c r="C52" s="726"/>
      <c r="D52" s="726"/>
      <c r="E52" s="726"/>
      <c r="F52" s="726"/>
      <c r="G52" s="726"/>
      <c r="H52" s="726"/>
      <c r="I52" s="726"/>
      <c r="J52" s="726"/>
      <c r="K52" s="726"/>
      <c r="L52" s="726"/>
      <c r="M52" s="726"/>
      <c r="N52" s="726"/>
      <c r="O52" s="726"/>
      <c r="P52" s="726"/>
      <c r="Q52" s="726"/>
      <c r="R52" s="726"/>
      <c r="S52" s="726"/>
      <c r="T52" s="726"/>
      <c r="U52" s="726"/>
      <c r="V52" s="726"/>
      <c r="W52" s="726"/>
      <c r="X52" s="726"/>
      <c r="Y52" s="726"/>
      <c r="Z52" s="116"/>
      <c r="AA52" s="116"/>
    </row>
    <row r="53" spans="1:27" ht="9.75" customHeight="1" x14ac:dyDescent="0.25">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16"/>
      <c r="AA53" s="116"/>
    </row>
    <row r="54" spans="1:27" ht="30.75" customHeight="1" x14ac:dyDescent="0.25">
      <c r="A54" s="726"/>
      <c r="B54" s="726"/>
      <c r="C54" s="726"/>
      <c r="D54" s="726"/>
      <c r="E54" s="726"/>
      <c r="F54" s="726"/>
      <c r="G54" s="726"/>
      <c r="H54" s="726"/>
      <c r="I54" s="726"/>
      <c r="J54" s="726"/>
      <c r="K54" s="726"/>
      <c r="L54" s="726"/>
      <c r="M54" s="726"/>
      <c r="N54" s="726"/>
      <c r="O54" s="726"/>
      <c r="P54" s="726"/>
      <c r="Q54" s="726"/>
      <c r="R54" s="726"/>
      <c r="S54" s="726"/>
      <c r="T54" s="726"/>
      <c r="U54" s="726"/>
      <c r="V54" s="726"/>
      <c r="W54" s="726"/>
      <c r="X54" s="726"/>
      <c r="Y54" s="726"/>
      <c r="Z54" s="116"/>
      <c r="AA54" s="116"/>
    </row>
    <row r="55" spans="1:27" ht="15" customHeight="1" x14ac:dyDescent="0.2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52"/>
      <c r="Y55" s="152"/>
      <c r="Z55" s="152"/>
      <c r="AA55" s="116"/>
    </row>
    <row r="56" spans="1:27" ht="15.75" x14ac:dyDescent="0.25">
      <c r="A56" s="116"/>
      <c r="B56" s="137"/>
      <c r="C56" s="116"/>
      <c r="D56" s="137"/>
      <c r="E56" s="116"/>
      <c r="F56" s="116"/>
      <c r="G56" s="116"/>
      <c r="H56" s="116"/>
      <c r="I56" s="116"/>
      <c r="J56" s="116"/>
      <c r="K56" s="116"/>
      <c r="L56" s="116"/>
      <c r="M56" s="116"/>
      <c r="N56" s="116"/>
      <c r="O56" s="116"/>
      <c r="P56" s="116"/>
      <c r="Q56" s="116"/>
      <c r="R56" s="116"/>
      <c r="S56" s="116"/>
      <c r="T56" s="116"/>
      <c r="U56" s="116"/>
      <c r="V56" s="116"/>
      <c r="W56" s="116"/>
      <c r="X56" s="116"/>
      <c r="Y56" s="116"/>
      <c r="Z56" s="116"/>
      <c r="AA56" s="116"/>
    </row>
    <row r="57" spans="1:27" ht="15.75" x14ac:dyDescent="0.25">
      <c r="A57" s="137"/>
      <c r="B57" s="137"/>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row>
    <row r="58" spans="1:27" ht="15.75" x14ac:dyDescent="0.25">
      <c r="A58" s="137"/>
      <c r="B58" s="137"/>
      <c r="C58" s="116"/>
      <c r="D58" s="116"/>
      <c r="E58" s="116"/>
      <c r="F58" s="116"/>
      <c r="G58" s="137"/>
      <c r="H58" s="116"/>
      <c r="J58" s="153"/>
      <c r="K58" s="727"/>
      <c r="L58" s="727"/>
      <c r="M58" s="727"/>
      <c r="N58" s="727"/>
      <c r="O58" s="727"/>
      <c r="P58" s="727"/>
      <c r="Q58" s="727"/>
      <c r="R58" s="137"/>
      <c r="S58" s="137"/>
      <c r="T58" s="137"/>
      <c r="U58" s="137"/>
      <c r="V58" s="137"/>
      <c r="W58" s="137"/>
      <c r="Y58" s="116"/>
      <c r="Z58" s="116"/>
      <c r="AA58" s="116"/>
    </row>
    <row r="59" spans="1:27" ht="15.75" x14ac:dyDescent="0.25">
      <c r="A59" s="137"/>
      <c r="B59" s="137"/>
      <c r="C59" s="116"/>
      <c r="D59" s="116"/>
      <c r="E59" s="116"/>
      <c r="F59" s="116"/>
      <c r="G59" s="137"/>
      <c r="H59" s="116"/>
      <c r="J59" s="153"/>
      <c r="K59" s="727"/>
      <c r="L59" s="727"/>
      <c r="M59" s="727"/>
      <c r="N59" s="727"/>
      <c r="O59" s="727"/>
      <c r="P59" s="727"/>
      <c r="Q59" s="727"/>
      <c r="R59" s="154"/>
      <c r="S59" s="154"/>
      <c r="T59" s="137"/>
      <c r="U59" s="728"/>
      <c r="V59" s="728"/>
      <c r="W59" s="119"/>
      <c r="Y59" s="116"/>
      <c r="Z59" s="116"/>
      <c r="AA59" s="116"/>
    </row>
    <row r="60" spans="1:27" ht="15.75" x14ac:dyDescent="0.25">
      <c r="A60" s="137"/>
      <c r="B60" s="137"/>
      <c r="C60" s="116"/>
      <c r="D60" s="116"/>
      <c r="E60" s="116"/>
      <c r="F60" s="116"/>
      <c r="G60" s="137"/>
      <c r="H60" s="116"/>
      <c r="J60" s="153"/>
      <c r="K60" s="727"/>
      <c r="L60" s="727"/>
      <c r="M60" s="727"/>
      <c r="N60" s="727"/>
      <c r="O60" s="727"/>
      <c r="P60" s="727"/>
      <c r="Q60" s="727"/>
      <c r="R60" s="729"/>
      <c r="S60" s="729"/>
      <c r="T60" s="137"/>
      <c r="U60" s="728"/>
      <c r="V60" s="728"/>
      <c r="W60" s="119"/>
      <c r="X60" s="116"/>
      <c r="Y60" s="116"/>
      <c r="Z60" s="116"/>
      <c r="AA60" s="116"/>
    </row>
    <row r="61" spans="1:27" ht="15" customHeight="1" x14ac:dyDescent="0.25">
      <c r="A61" s="137"/>
      <c r="B61" s="137"/>
      <c r="C61" s="116"/>
      <c r="D61" s="116"/>
      <c r="E61" s="116"/>
      <c r="F61" s="116"/>
      <c r="G61" s="137"/>
      <c r="H61" s="116"/>
      <c r="J61" s="153"/>
      <c r="K61" s="155"/>
      <c r="L61" s="155"/>
      <c r="M61" s="155"/>
      <c r="N61" s="155"/>
      <c r="O61" s="155"/>
      <c r="P61" s="155"/>
      <c r="Q61" s="155"/>
      <c r="R61" s="146"/>
      <c r="S61" s="146"/>
      <c r="T61" s="137"/>
      <c r="U61" s="119"/>
      <c r="V61" s="119"/>
      <c r="W61" s="119"/>
      <c r="X61" s="116"/>
      <c r="Y61" s="116"/>
      <c r="Z61" s="116"/>
      <c r="AA61" s="116"/>
    </row>
    <row r="62" spans="1:27" ht="15" customHeight="1" x14ac:dyDescent="0.25">
      <c r="A62" s="137"/>
      <c r="B62" s="137"/>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row>
    <row r="63" spans="1:27" ht="15.75" x14ac:dyDescent="0.25">
      <c r="A63" s="117"/>
      <c r="B63" s="137"/>
      <c r="C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row>
    <row r="64" spans="1:27" ht="15.75" x14ac:dyDescent="0.25">
      <c r="B64" s="137"/>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row>
    <row r="65" spans="1:27" ht="15.75" customHeight="1" x14ac:dyDescent="0.25">
      <c r="A65" s="156"/>
      <c r="B65" s="735"/>
      <c r="C65" s="735"/>
      <c r="D65" s="735"/>
      <c r="E65" s="735"/>
      <c r="F65" s="735"/>
      <c r="G65" s="735"/>
      <c r="H65" s="735"/>
      <c r="I65" s="735"/>
      <c r="J65" s="735"/>
      <c r="K65" s="735"/>
      <c r="L65" s="735"/>
      <c r="M65" s="735"/>
      <c r="N65" s="735"/>
      <c r="O65" s="735"/>
      <c r="P65" s="735"/>
      <c r="Q65" s="735"/>
      <c r="R65" s="735"/>
      <c r="S65" s="735"/>
      <c r="T65" s="735"/>
      <c r="U65" s="735"/>
      <c r="V65" s="735"/>
      <c r="W65" s="735"/>
      <c r="X65" s="735"/>
      <c r="Y65" s="735"/>
      <c r="Z65" s="152"/>
      <c r="AA65" s="152"/>
    </row>
    <row r="66" spans="1:27" ht="15.75" x14ac:dyDescent="0.25">
      <c r="A66" s="156"/>
      <c r="B66" s="735"/>
      <c r="C66" s="735"/>
      <c r="D66" s="735"/>
      <c r="E66" s="735"/>
      <c r="F66" s="735"/>
      <c r="G66" s="735"/>
      <c r="H66" s="735"/>
      <c r="I66" s="735"/>
      <c r="J66" s="735"/>
      <c r="K66" s="735"/>
      <c r="L66" s="735"/>
      <c r="M66" s="735"/>
      <c r="N66" s="735"/>
      <c r="O66" s="735"/>
      <c r="P66" s="735"/>
      <c r="Q66" s="735"/>
      <c r="R66" s="735"/>
      <c r="S66" s="735"/>
      <c r="T66" s="735"/>
      <c r="U66" s="735"/>
      <c r="V66" s="735"/>
      <c r="W66" s="735"/>
      <c r="X66" s="735"/>
      <c r="Y66" s="735"/>
      <c r="Z66" s="152"/>
      <c r="AA66" s="152"/>
    </row>
    <row r="67" spans="1:27" ht="15.75" x14ac:dyDescent="0.25">
      <c r="A67" s="156"/>
      <c r="B67" s="736"/>
      <c r="C67" s="736"/>
      <c r="D67" s="736"/>
      <c r="E67" s="736"/>
      <c r="F67" s="736"/>
      <c r="G67" s="736"/>
      <c r="H67" s="736"/>
      <c r="I67" s="736"/>
      <c r="J67" s="736"/>
      <c r="K67" s="736"/>
      <c r="L67" s="736"/>
      <c r="M67" s="736"/>
      <c r="N67" s="736"/>
      <c r="O67" s="736"/>
      <c r="P67" s="736"/>
      <c r="Q67" s="736"/>
      <c r="R67" s="736"/>
      <c r="S67" s="736"/>
      <c r="T67" s="736"/>
      <c r="U67" s="736"/>
      <c r="V67" s="736"/>
      <c r="W67" s="736"/>
      <c r="X67" s="736"/>
      <c r="Y67" s="736"/>
      <c r="Z67" s="152"/>
      <c r="AA67" s="152"/>
    </row>
    <row r="68" spans="1:27" ht="1.5" customHeight="1" x14ac:dyDescent="0.25">
      <c r="A68" s="156"/>
      <c r="B68" s="736"/>
      <c r="C68" s="736"/>
      <c r="D68" s="736"/>
      <c r="E68" s="736"/>
      <c r="F68" s="736"/>
      <c r="G68" s="736"/>
      <c r="H68" s="736"/>
      <c r="I68" s="736"/>
      <c r="J68" s="736"/>
      <c r="K68" s="736"/>
      <c r="L68" s="736"/>
      <c r="M68" s="736"/>
      <c r="N68" s="736"/>
      <c r="O68" s="736"/>
      <c r="P68" s="736"/>
      <c r="Q68" s="736"/>
      <c r="R68" s="736"/>
      <c r="S68" s="736"/>
      <c r="T68" s="736"/>
      <c r="U68" s="736"/>
      <c r="V68" s="736"/>
      <c r="W68" s="736"/>
      <c r="X68" s="736"/>
      <c r="Y68" s="736"/>
      <c r="Z68" s="152"/>
      <c r="AA68" s="152"/>
    </row>
    <row r="69" spans="1:27" ht="15.75" x14ac:dyDescent="0.25">
      <c r="A69" s="156"/>
      <c r="B69" s="726"/>
      <c r="C69" s="726"/>
      <c r="D69" s="726"/>
      <c r="E69" s="726"/>
      <c r="F69" s="726"/>
      <c r="G69" s="726"/>
      <c r="H69" s="726"/>
      <c r="I69" s="726"/>
      <c r="J69" s="726"/>
      <c r="K69" s="726"/>
      <c r="L69" s="726"/>
      <c r="M69" s="726"/>
      <c r="N69" s="726"/>
      <c r="O69" s="726"/>
      <c r="P69" s="726"/>
      <c r="Q69" s="726"/>
      <c r="R69" s="726"/>
      <c r="S69" s="726"/>
      <c r="T69" s="726"/>
      <c r="U69" s="726"/>
      <c r="V69" s="726"/>
      <c r="W69" s="726"/>
      <c r="X69" s="726"/>
      <c r="Y69" s="726"/>
      <c r="Z69" s="152"/>
      <c r="AA69" s="152"/>
    </row>
    <row r="70" spans="1:27" ht="15.75" x14ac:dyDescent="0.25">
      <c r="A70" s="156"/>
      <c r="B70" s="726"/>
      <c r="C70" s="726"/>
      <c r="D70" s="726"/>
      <c r="E70" s="726"/>
      <c r="F70" s="726"/>
      <c r="G70" s="726"/>
      <c r="H70" s="726"/>
      <c r="I70" s="726"/>
      <c r="J70" s="726"/>
      <c r="K70" s="726"/>
      <c r="L70" s="726"/>
      <c r="M70" s="726"/>
      <c r="N70" s="726"/>
      <c r="O70" s="726"/>
      <c r="P70" s="726"/>
      <c r="Q70" s="726"/>
      <c r="R70" s="726"/>
      <c r="S70" s="726"/>
      <c r="T70" s="726"/>
      <c r="U70" s="726"/>
      <c r="V70" s="726"/>
      <c r="W70" s="726"/>
      <c r="X70" s="726"/>
      <c r="Y70" s="726"/>
      <c r="Z70" s="152"/>
      <c r="AA70" s="152"/>
    </row>
    <row r="71" spans="1:27" ht="15.75" x14ac:dyDescent="0.25">
      <c r="A71" s="156"/>
      <c r="B71" s="736"/>
      <c r="C71" s="736"/>
      <c r="D71" s="736"/>
      <c r="E71" s="736"/>
      <c r="F71" s="736"/>
      <c r="G71" s="736"/>
      <c r="H71" s="736"/>
      <c r="I71" s="736"/>
      <c r="J71" s="736"/>
      <c r="K71" s="736"/>
      <c r="L71" s="736"/>
      <c r="M71" s="736"/>
      <c r="N71" s="736"/>
      <c r="O71" s="736"/>
      <c r="P71" s="736"/>
      <c r="Q71" s="736"/>
      <c r="R71" s="736"/>
      <c r="S71" s="736"/>
      <c r="T71" s="736"/>
      <c r="U71" s="736"/>
      <c r="V71" s="736"/>
      <c r="W71" s="736"/>
      <c r="X71" s="736"/>
      <c r="Y71" s="736"/>
      <c r="Z71" s="152"/>
      <c r="AA71" s="152"/>
    </row>
    <row r="72" spans="1:27" ht="15.75" x14ac:dyDescent="0.25">
      <c r="A72" s="156"/>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2"/>
      <c r="AA72" s="152"/>
    </row>
    <row r="73" spans="1:27" ht="15.75" x14ac:dyDescent="0.25">
      <c r="A73" s="137"/>
      <c r="B73" s="152"/>
      <c r="C73" s="152"/>
      <c r="D73" s="152"/>
      <c r="E73" s="152"/>
      <c r="F73" s="152"/>
      <c r="G73" s="152"/>
      <c r="H73" s="152"/>
      <c r="I73" s="152"/>
      <c r="J73" s="152"/>
      <c r="K73" s="152"/>
      <c r="L73" s="152"/>
      <c r="M73" s="152"/>
      <c r="N73" s="152"/>
      <c r="O73" s="116"/>
      <c r="P73" s="116"/>
      <c r="Q73" s="116"/>
      <c r="R73" s="116"/>
      <c r="S73" s="116"/>
      <c r="T73" s="116"/>
      <c r="U73" s="116"/>
      <c r="V73" s="116"/>
      <c r="W73" s="116"/>
      <c r="X73" s="116"/>
      <c r="Y73" s="116"/>
      <c r="Z73" s="116"/>
      <c r="AA73" s="116"/>
    </row>
    <row r="74" spans="1:27" ht="15.75" x14ac:dyDescent="0.25">
      <c r="A74" s="732"/>
      <c r="B74" s="732"/>
      <c r="C74" s="732"/>
      <c r="D74" s="732"/>
      <c r="E74" s="732"/>
      <c r="F74" s="732"/>
      <c r="G74" s="732"/>
      <c r="H74" s="732"/>
      <c r="I74" s="732"/>
      <c r="J74" s="732"/>
      <c r="K74" s="732"/>
      <c r="L74" s="152"/>
      <c r="M74" s="152"/>
      <c r="N74" s="152"/>
      <c r="O74" s="116"/>
      <c r="P74" s="116"/>
      <c r="Q74" s="116"/>
      <c r="R74" s="116"/>
      <c r="S74" s="116"/>
      <c r="T74" s="116"/>
      <c r="U74" s="116"/>
      <c r="V74" s="116"/>
      <c r="W74" s="116"/>
      <c r="X74" s="116"/>
      <c r="Y74" s="116"/>
      <c r="Z74" s="116"/>
      <c r="AA74" s="116"/>
    </row>
    <row r="75" spans="1:27" ht="15.75" x14ac:dyDescent="0.25">
      <c r="A75" s="737"/>
      <c r="B75" s="737"/>
      <c r="C75" s="737"/>
      <c r="D75" s="737"/>
      <c r="E75" s="737"/>
      <c r="F75" s="737"/>
      <c r="G75" s="737"/>
      <c r="H75" s="737"/>
      <c r="I75" s="737"/>
      <c r="J75" s="737"/>
      <c r="K75" s="737"/>
      <c r="L75" s="152"/>
      <c r="M75" s="152"/>
      <c r="N75" s="152"/>
      <c r="O75" s="116"/>
      <c r="P75" s="116"/>
      <c r="Q75" s="116"/>
      <c r="R75" s="116"/>
      <c r="S75" s="116"/>
      <c r="T75" s="116"/>
      <c r="U75" s="116"/>
      <c r="V75" s="116"/>
      <c r="W75" s="116"/>
      <c r="X75" s="116"/>
      <c r="Y75" s="116"/>
      <c r="Z75" s="116"/>
      <c r="AA75" s="116"/>
    </row>
    <row r="76" spans="1:27" ht="15.75" x14ac:dyDescent="0.25">
      <c r="A76" s="732"/>
      <c r="B76" s="732"/>
      <c r="C76" s="732"/>
      <c r="D76" s="732"/>
      <c r="E76" s="732"/>
      <c r="F76" s="732"/>
      <c r="G76" s="732"/>
      <c r="H76" s="732"/>
      <c r="I76" s="732"/>
      <c r="J76" s="732"/>
      <c r="K76" s="732"/>
      <c r="L76" s="152"/>
      <c r="M76" s="152"/>
      <c r="N76" s="152"/>
      <c r="O76" s="116"/>
      <c r="P76" s="116"/>
      <c r="Q76" s="116"/>
      <c r="R76" s="116"/>
      <c r="S76" s="116"/>
      <c r="T76" s="116"/>
      <c r="U76" s="116"/>
      <c r="V76" s="116"/>
      <c r="W76" s="116"/>
      <c r="X76" s="116"/>
      <c r="Y76" s="116"/>
      <c r="Z76" s="116"/>
      <c r="AA76" s="116"/>
    </row>
    <row r="77" spans="1:27" ht="15.75" x14ac:dyDescent="0.25">
      <c r="A77" s="137"/>
      <c r="B77" s="137"/>
      <c r="C77" s="152"/>
      <c r="D77" s="152"/>
      <c r="E77" s="152"/>
      <c r="F77" s="152"/>
      <c r="G77" s="152"/>
      <c r="H77" s="152"/>
      <c r="I77" s="152"/>
      <c r="J77" s="152"/>
      <c r="K77" s="152"/>
      <c r="L77" s="152"/>
      <c r="M77" s="152"/>
      <c r="P77" s="116"/>
      <c r="Q77" s="116"/>
      <c r="R77" s="116"/>
      <c r="S77" s="116"/>
      <c r="T77" s="116"/>
      <c r="U77" s="116"/>
      <c r="V77" s="116"/>
      <c r="W77" s="116"/>
      <c r="X77" s="116"/>
      <c r="Y77" s="116"/>
      <c r="Z77" s="116"/>
      <c r="AA77" s="116"/>
    </row>
    <row r="78" spans="1:27" ht="15.75" x14ac:dyDescent="0.25">
      <c r="A78" s="137"/>
      <c r="B78" s="137"/>
      <c r="C78" s="152"/>
      <c r="D78" s="152"/>
      <c r="E78" s="152"/>
      <c r="F78" s="152"/>
      <c r="G78" s="152"/>
      <c r="H78" s="152"/>
      <c r="I78" s="152"/>
      <c r="J78" s="152"/>
      <c r="K78" s="152"/>
      <c r="L78" s="733"/>
      <c r="M78" s="733"/>
      <c r="N78" s="733"/>
      <c r="O78" s="733"/>
      <c r="P78" s="733"/>
      <c r="Q78" s="733"/>
      <c r="R78" s="733"/>
      <c r="S78" s="733"/>
      <c r="T78" s="733"/>
      <c r="U78" s="733"/>
      <c r="V78" s="733"/>
      <c r="W78" s="733"/>
      <c r="X78" s="733"/>
      <c r="Y78" s="116"/>
      <c r="Z78" s="116"/>
      <c r="AA78" s="116"/>
    </row>
    <row r="79" spans="1:27" ht="15.75" x14ac:dyDescent="0.25">
      <c r="A79" s="137"/>
      <c r="B79" s="137"/>
      <c r="C79" s="116"/>
      <c r="D79" s="116"/>
      <c r="E79" s="116"/>
      <c r="F79" s="116"/>
      <c r="G79" s="116"/>
      <c r="H79" s="116"/>
      <c r="I79" s="116"/>
      <c r="J79" s="116"/>
      <c r="K79" s="116"/>
      <c r="L79" s="116"/>
      <c r="M79" s="116"/>
      <c r="N79" s="116"/>
      <c r="P79" s="116"/>
      <c r="Q79" s="116"/>
      <c r="R79" s="116"/>
      <c r="S79" s="116"/>
      <c r="T79" s="116"/>
      <c r="U79" s="116"/>
      <c r="V79" s="116"/>
      <c r="W79" s="116"/>
      <c r="X79" s="116"/>
      <c r="Y79" s="116"/>
      <c r="Z79" s="116"/>
      <c r="AA79" s="116"/>
    </row>
    <row r="80" spans="1:27" ht="15.75" x14ac:dyDescent="0.25">
      <c r="A80" s="137"/>
      <c r="B80" s="137"/>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row>
    <row r="81" spans="1:27" ht="15.75" x14ac:dyDescent="0.25">
      <c r="A81" s="137"/>
      <c r="B81" s="137"/>
      <c r="C81" s="116"/>
      <c r="D81" s="116"/>
      <c r="E81" s="116"/>
      <c r="F81" s="116"/>
      <c r="G81" s="116"/>
      <c r="H81" s="116"/>
      <c r="I81" s="116"/>
      <c r="J81" s="116"/>
      <c r="K81" s="116"/>
      <c r="L81" s="732"/>
      <c r="M81" s="732"/>
      <c r="N81" s="732"/>
      <c r="O81" s="732"/>
      <c r="P81" s="732"/>
      <c r="Q81" s="732"/>
      <c r="R81" s="732"/>
      <c r="S81" s="732"/>
      <c r="T81" s="732"/>
      <c r="U81" s="732"/>
      <c r="V81" s="732"/>
      <c r="W81" s="732"/>
      <c r="X81" s="732"/>
      <c r="Y81" s="158"/>
      <c r="Z81" s="152"/>
      <c r="AA81" s="152"/>
    </row>
    <row r="82" spans="1:27" ht="15.75" x14ac:dyDescent="0.25">
      <c r="A82" s="137"/>
      <c r="B82" s="137"/>
      <c r="C82" s="116"/>
      <c r="D82" s="116"/>
      <c r="E82" s="116"/>
      <c r="F82" s="116"/>
      <c r="G82" s="116"/>
      <c r="H82" s="116"/>
      <c r="I82" s="116"/>
      <c r="J82" s="116"/>
      <c r="K82" s="116"/>
      <c r="L82" s="732"/>
      <c r="M82" s="732"/>
      <c r="N82" s="732"/>
      <c r="O82" s="732"/>
      <c r="P82" s="732"/>
      <c r="Q82" s="732"/>
      <c r="R82" s="732"/>
      <c r="S82" s="732"/>
      <c r="T82" s="732"/>
      <c r="U82" s="732"/>
      <c r="V82" s="732"/>
      <c r="W82" s="732"/>
      <c r="X82" s="732"/>
      <c r="Y82" s="158"/>
      <c r="Z82" s="152"/>
      <c r="AA82" s="152"/>
    </row>
    <row r="83" spans="1:27" x14ac:dyDescent="0.25">
      <c r="B83" s="159"/>
      <c r="E83" s="160"/>
      <c r="N83" s="734"/>
      <c r="O83" s="734"/>
      <c r="P83" s="734"/>
      <c r="Q83" s="734"/>
    </row>
    <row r="85" spans="1:27" ht="9.75" customHeight="1" x14ac:dyDescent="0.25">
      <c r="N85" s="734"/>
      <c r="O85" s="734"/>
      <c r="P85" s="734"/>
    </row>
    <row r="86" spans="1:27" x14ac:dyDescent="0.25">
      <c r="B86" s="159"/>
      <c r="E86" s="160"/>
      <c r="N86" s="161"/>
    </row>
    <row r="87" spans="1:27" x14ac:dyDescent="0.25">
      <c r="B87" s="731"/>
      <c r="C87" s="731"/>
      <c r="D87" s="731"/>
      <c r="E87" s="731"/>
      <c r="F87" s="731"/>
      <c r="G87" s="159"/>
    </row>
  </sheetData>
  <mergeCells count="115">
    <mergeCell ref="B87:F87"/>
    <mergeCell ref="A76:K76"/>
    <mergeCell ref="L78:X78"/>
    <mergeCell ref="L81:X81"/>
    <mergeCell ref="L82:X82"/>
    <mergeCell ref="N83:Q83"/>
    <mergeCell ref="N85:P85"/>
    <mergeCell ref="B65:Y66"/>
    <mergeCell ref="B67:Y68"/>
    <mergeCell ref="B69:Y70"/>
    <mergeCell ref="B71:Y71"/>
    <mergeCell ref="A74:K74"/>
    <mergeCell ref="A75:K75"/>
    <mergeCell ref="A52:Y52"/>
    <mergeCell ref="A54:Y54"/>
    <mergeCell ref="K58:Q58"/>
    <mergeCell ref="K59:Q59"/>
    <mergeCell ref="U59:V59"/>
    <mergeCell ref="K60:Q60"/>
    <mergeCell ref="R60:S60"/>
    <mergeCell ref="U60:V60"/>
    <mergeCell ref="A46:F46"/>
    <mergeCell ref="G46:L46"/>
    <mergeCell ref="M46:S46"/>
    <mergeCell ref="T46:Y46"/>
    <mergeCell ref="A47:F47"/>
    <mergeCell ref="G47:L47"/>
    <mergeCell ref="M47:S47"/>
    <mergeCell ref="T47:Y47"/>
    <mergeCell ref="AP31:AT31"/>
    <mergeCell ref="AU31:AY31"/>
    <mergeCell ref="N32:R32"/>
    <mergeCell ref="S32:X32"/>
    <mergeCell ref="A33:Y38"/>
    <mergeCell ref="Q40:Y43"/>
    <mergeCell ref="B31:G31"/>
    <mergeCell ref="H31:M31"/>
    <mergeCell ref="N31:R31"/>
    <mergeCell ref="S31:X31"/>
    <mergeCell ref="AD31:AI31"/>
    <mergeCell ref="AJ31:AO31"/>
    <mergeCell ref="AP29:AT29"/>
    <mergeCell ref="AU29:AY29"/>
    <mergeCell ref="A30:H30"/>
    <mergeCell ref="I30:N30"/>
    <mergeCell ref="O30:V30"/>
    <mergeCell ref="W30:Y30"/>
    <mergeCell ref="AD30:AI30"/>
    <mergeCell ref="AJ30:AO30"/>
    <mergeCell ref="AP30:AT30"/>
    <mergeCell ref="AU30:AY30"/>
    <mergeCell ref="A29:H29"/>
    <mergeCell ref="I29:N29"/>
    <mergeCell ref="O29:V29"/>
    <mergeCell ref="W29:Y29"/>
    <mergeCell ref="AD29:AI29"/>
    <mergeCell ref="AJ29:AO29"/>
    <mergeCell ref="A28:H28"/>
    <mergeCell ref="I28:N28"/>
    <mergeCell ref="O28:V28"/>
    <mergeCell ref="W28:Y28"/>
    <mergeCell ref="AD28:AI28"/>
    <mergeCell ref="AJ28:AO28"/>
    <mergeCell ref="AP28:AT28"/>
    <mergeCell ref="AU28:AY28"/>
    <mergeCell ref="A27:H27"/>
    <mergeCell ref="I27:N27"/>
    <mergeCell ref="O27:V27"/>
    <mergeCell ref="W27:Y27"/>
    <mergeCell ref="AD27:AI27"/>
    <mergeCell ref="AJ27:AO27"/>
    <mergeCell ref="A26:H26"/>
    <mergeCell ref="I26:N26"/>
    <mergeCell ref="O26:V26"/>
    <mergeCell ref="W26:Y26"/>
    <mergeCell ref="AD26:AI26"/>
    <mergeCell ref="AJ26:AO26"/>
    <mergeCell ref="AP26:AT26"/>
    <mergeCell ref="AU26:AY26"/>
    <mergeCell ref="AP27:AT27"/>
    <mergeCell ref="AU27:AY27"/>
    <mergeCell ref="AU24:AY24"/>
    <mergeCell ref="A25:H25"/>
    <mergeCell ref="I25:N25"/>
    <mergeCell ref="O25:V25"/>
    <mergeCell ref="W25:Y25"/>
    <mergeCell ref="AD25:AI25"/>
    <mergeCell ref="AJ25:AO25"/>
    <mergeCell ref="AP25:AT25"/>
    <mergeCell ref="AU25:AY25"/>
    <mergeCell ref="A24:H24"/>
    <mergeCell ref="I24:N24"/>
    <mergeCell ref="O24:V24"/>
    <mergeCell ref="W24:Y24"/>
    <mergeCell ref="T6:Y6"/>
    <mergeCell ref="G7:K7"/>
    <mergeCell ref="T7:Y7"/>
    <mergeCell ref="A9:Y9"/>
    <mergeCell ref="A10:Y10"/>
    <mergeCell ref="I11:W11"/>
    <mergeCell ref="AD24:AI24"/>
    <mergeCell ref="AJ24:AO24"/>
    <mergeCell ref="AP24:AT24"/>
    <mergeCell ref="A23:H23"/>
    <mergeCell ref="I23:N23"/>
    <mergeCell ref="O23:V23"/>
    <mergeCell ref="W23:Y23"/>
    <mergeCell ref="P12:S12"/>
    <mergeCell ref="J18:O18"/>
    <mergeCell ref="A22:H22"/>
    <mergeCell ref="I22:N22"/>
    <mergeCell ref="O22:V22"/>
    <mergeCell ref="W22:Y22"/>
    <mergeCell ref="R16:Y16"/>
    <mergeCell ref="I16:L16"/>
  </mergeCells>
  <printOptions horizontalCentered="1"/>
  <pageMargins left="0.25" right="0.25" top="0.75" bottom="0.75" header="0.3" footer="0.3"/>
  <pageSetup paperSize="9" fitToHeight="2" orientation="portrait"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Q9"/>
  <sheetViews>
    <sheetView workbookViewId="0">
      <selection activeCell="F4" sqref="F4"/>
    </sheetView>
  </sheetViews>
  <sheetFormatPr defaultRowHeight="15" x14ac:dyDescent="0.25"/>
  <cols>
    <col min="1" max="1" width="18.7109375" customWidth="1"/>
    <col min="5" max="5" width="10.5703125" customWidth="1"/>
    <col min="11" max="11" width="18.5703125" bestFit="1" customWidth="1"/>
  </cols>
  <sheetData>
    <row r="1" spans="1:17" x14ac:dyDescent="0.25">
      <c r="A1" t="s">
        <v>166</v>
      </c>
      <c r="E1" t="s">
        <v>342</v>
      </c>
      <c r="F1" t="s">
        <v>341</v>
      </c>
      <c r="J1" t="s">
        <v>366</v>
      </c>
      <c r="K1" t="s">
        <v>371</v>
      </c>
    </row>
    <row r="2" spans="1:17" x14ac:dyDescent="0.25">
      <c r="A2" t="s">
        <v>165</v>
      </c>
      <c r="E2" t="s">
        <v>340</v>
      </c>
      <c r="F2" t="s">
        <v>265</v>
      </c>
      <c r="J2" t="s">
        <v>3</v>
      </c>
      <c r="K2">
        <v>9.8066500000000001E-3</v>
      </c>
    </row>
    <row r="3" spans="1:17" x14ac:dyDescent="0.25">
      <c r="A3" t="s">
        <v>132</v>
      </c>
      <c r="E3" t="s">
        <v>339</v>
      </c>
      <c r="F3" t="s">
        <v>387</v>
      </c>
      <c r="J3" t="s">
        <v>368</v>
      </c>
      <c r="K3">
        <v>4.4482200000000001E-3</v>
      </c>
    </row>
    <row r="4" spans="1:17" x14ac:dyDescent="0.25">
      <c r="A4" t="s">
        <v>189</v>
      </c>
      <c r="E4" t="s">
        <v>378</v>
      </c>
      <c r="F4" t="s">
        <v>149</v>
      </c>
      <c r="J4" t="s">
        <v>369</v>
      </c>
      <c r="K4">
        <f>K2*1000</f>
        <v>9.8066499999999994</v>
      </c>
    </row>
    <row r="5" spans="1:17" x14ac:dyDescent="0.25">
      <c r="A5" t="s">
        <v>191</v>
      </c>
      <c r="E5" t="s">
        <v>343</v>
      </c>
      <c r="F5" t="s">
        <v>152</v>
      </c>
      <c r="J5" t="s">
        <v>370</v>
      </c>
      <c r="K5">
        <v>1E-4</v>
      </c>
      <c r="N5">
        <v>1000</v>
      </c>
      <c r="O5" t="s">
        <v>367</v>
      </c>
      <c r="P5">
        <v>1</v>
      </c>
      <c r="Q5" t="s">
        <v>372</v>
      </c>
    </row>
    <row r="6" spans="1:17" x14ac:dyDescent="0.25">
      <c r="A6" t="s">
        <v>190</v>
      </c>
      <c r="E6" t="s">
        <v>381</v>
      </c>
      <c r="F6" t="s">
        <v>149</v>
      </c>
    </row>
    <row r="7" spans="1:17" x14ac:dyDescent="0.25">
      <c r="A7" t="s">
        <v>192</v>
      </c>
    </row>
    <row r="8" spans="1:17" x14ac:dyDescent="0.25">
      <c r="A8" t="s">
        <v>279</v>
      </c>
    </row>
    <row r="9" spans="1:17" x14ac:dyDescent="0.25">
      <c r="A9" t="s">
        <v>377</v>
      </c>
    </row>
  </sheetData>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B11"/>
  <sheetViews>
    <sheetView workbookViewId="0">
      <selection activeCell="B2" sqref="B2"/>
    </sheetView>
  </sheetViews>
  <sheetFormatPr defaultRowHeight="15" x14ac:dyDescent="0.25"/>
  <sheetData>
    <row r="1" spans="1:2" x14ac:dyDescent="0.25">
      <c r="A1" t="s">
        <v>50</v>
      </c>
    </row>
    <row r="2" spans="1:2" x14ac:dyDescent="0.25">
      <c r="A2">
        <v>0</v>
      </c>
      <c r="B2">
        <v>0</v>
      </c>
    </row>
    <row r="3" spans="1:2" x14ac:dyDescent="0.25">
      <c r="A3">
        <v>196.13300000000001</v>
      </c>
      <c r="B3">
        <v>0.19611999999999999</v>
      </c>
    </row>
    <row r="4" spans="1:2" x14ac:dyDescent="0.25">
      <c r="A4">
        <v>392.26600000000002</v>
      </c>
      <c r="B4">
        <v>0.39222000000000001</v>
      </c>
    </row>
    <row r="5" spans="1:2" x14ac:dyDescent="0.25">
      <c r="A5">
        <v>588.399</v>
      </c>
      <c r="B5">
        <v>0.58831999999999995</v>
      </c>
    </row>
    <row r="6" spans="1:2" x14ac:dyDescent="0.25">
      <c r="A6">
        <v>748.53200000000004</v>
      </c>
      <c r="B6">
        <v>0.78444000000000003</v>
      </c>
    </row>
    <row r="7" spans="1:2" x14ac:dyDescent="0.25">
      <c r="A7">
        <v>980.66499999999996</v>
      </c>
      <c r="B7">
        <v>0.98055999999999999</v>
      </c>
    </row>
    <row r="8" spans="1:2" x14ac:dyDescent="0.25">
      <c r="A8">
        <v>1176.798</v>
      </c>
      <c r="B8">
        <v>1.17669</v>
      </c>
    </row>
    <row r="9" spans="1:2" x14ac:dyDescent="0.25">
      <c r="A9">
        <v>1569.0640000000001</v>
      </c>
      <c r="B9">
        <v>1.3728199999999999</v>
      </c>
    </row>
    <row r="10" spans="1:2" x14ac:dyDescent="0.25">
      <c r="A10">
        <v>1765.1969999999999</v>
      </c>
      <c r="B10">
        <v>1.56897</v>
      </c>
    </row>
    <row r="11" spans="1:2" x14ac:dyDescent="0.25">
      <c r="A11">
        <v>1961.33</v>
      </c>
      <c r="B11">
        <v>1.76512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Dash Board</vt:lpstr>
      <vt:lpstr>Software</vt:lpstr>
      <vt:lpstr>Calibration Data</vt:lpstr>
      <vt:lpstr>Load Cell db</vt:lpstr>
      <vt:lpstr>Data</vt:lpstr>
      <vt:lpstr>Certificate 10PTS</vt:lpstr>
      <vt:lpstr>Certificate 10 pts</vt:lpstr>
      <vt:lpstr>Certificate 5 pts (SI)</vt:lpstr>
      <vt:lpstr>Records</vt:lpstr>
      <vt:lpstr>Others db</vt:lpstr>
      <vt:lpstr>123</vt:lpstr>
      <vt:lpstr>'Certificate 10 pts'!calibrators</vt:lpstr>
      <vt:lpstr>calibrators</vt:lpstr>
      <vt:lpstr>'Certificate 10 pts'!LoadCell</vt:lpstr>
      <vt:lpstr>'Certificate 10PTS'!LoadCell</vt:lpstr>
      <vt:lpstr>LoadCell</vt:lpstr>
      <vt:lpstr>'Certificate 10 pts'!LoadCelldb</vt:lpstr>
      <vt:lpstr>'Certificate 10PTS'!LoadCelldb</vt:lpstr>
      <vt:lpstr>LoadCelldb</vt:lpstr>
      <vt:lpstr>'Calibration Data'!Print_Area</vt:lpstr>
      <vt:lpstr>'Certificate 10 pts'!Print_Area</vt:lpstr>
      <vt:lpstr>'Certificate 10PTS'!Print_Area</vt:lpstr>
      <vt:lpstr>Data!Print_Area</vt:lpstr>
      <vt:lpstr>Records!Print_Area</vt:lpstr>
      <vt:lpstr>Software!Print_Area</vt:lpstr>
      <vt:lpstr>TypesMachine</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Gabriel Vher Mampo</cp:lastModifiedBy>
  <cp:lastPrinted>2026-03-04T00:30:04Z</cp:lastPrinted>
  <dcterms:created xsi:type="dcterms:W3CDTF">2013-02-04T06:15:51Z</dcterms:created>
  <dcterms:modified xsi:type="dcterms:W3CDTF">2026-06-01T09:33:59Z</dcterms:modified>
</cp:coreProperties>
</file>