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nghua Mei\Dropbox\My PC (LAPTOP-RTNIC9JS)\Downloads\"/>
    </mc:Choice>
  </mc:AlternateContent>
  <xr:revisionPtr revIDLastSave="0" documentId="13_ncr:1_{2534EB90-F03C-4DC9-8A03-77066A345000}" xr6:coauthVersionLast="47" xr6:coauthVersionMax="47" xr10:uidLastSave="{00000000-0000-0000-0000-000000000000}"/>
  <bookViews>
    <workbookView xWindow="-90" yWindow="-90" windowWidth="16637" windowHeight="8983" xr2:uid="{00000000-000D-0000-FFFF-FFFF00000000}"/>
  </bookViews>
  <sheets>
    <sheet name="Basic Data" sheetId="1" r:id="rId1"/>
    <sheet name="Portfolio and Benchmark" sheetId="8" r:id="rId2"/>
    <sheet name="Performance Attribution" sheetId="4" r:id="rId3"/>
    <sheet name="Fama French" sheetId="7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'Fama French'!$J$3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L21" i="1"/>
  <c r="M21" i="1"/>
  <c r="C39" i="8" l="1"/>
  <c r="C38" i="8"/>
  <c r="E11" i="8" l="1"/>
  <c r="H11" i="8" s="1"/>
  <c r="E17" i="8"/>
  <c r="H17" i="8" s="1"/>
  <c r="AK16" i="1"/>
  <c r="AL16" i="1" s="1"/>
  <c r="AM16" i="1" s="1"/>
  <c r="AK17" i="1"/>
  <c r="AL17" i="1" s="1"/>
  <c r="AK18" i="1"/>
  <c r="AL18" i="1" s="1"/>
  <c r="AM18" i="1" s="1"/>
  <c r="AK19" i="1"/>
  <c r="AL19" i="1"/>
  <c r="AM19" i="1" s="1"/>
  <c r="AK20" i="1"/>
  <c r="AL20" i="1"/>
  <c r="AM20" i="1" s="1"/>
  <c r="U19" i="1"/>
  <c r="V19" i="1"/>
  <c r="W19" i="1"/>
  <c r="X19" i="1"/>
  <c r="Y19" i="1"/>
  <c r="U20" i="1"/>
  <c r="V20" i="1"/>
  <c r="W20" i="1"/>
  <c r="X20" i="1"/>
  <c r="Y20" i="1"/>
  <c r="Y18" i="1"/>
  <c r="X18" i="1"/>
  <c r="W18" i="1"/>
  <c r="V18" i="1"/>
  <c r="U18" i="1"/>
  <c r="U17" i="1"/>
  <c r="V17" i="1"/>
  <c r="W17" i="1"/>
  <c r="X17" i="1"/>
  <c r="Y17" i="1"/>
  <c r="U16" i="1"/>
  <c r="V16" i="1"/>
  <c r="W16" i="1"/>
  <c r="X16" i="1"/>
  <c r="Y16" i="1"/>
  <c r="Y15" i="1"/>
  <c r="Y14" i="1"/>
  <c r="G14" i="1"/>
  <c r="AK14" i="1"/>
  <c r="AL14" i="1" s="1"/>
  <c r="AK15" i="1"/>
  <c r="AL15" i="1" s="1"/>
  <c r="X15" i="1"/>
  <c r="W15" i="1"/>
  <c r="V15" i="1"/>
  <c r="U15" i="1"/>
  <c r="X14" i="1"/>
  <c r="W14" i="1"/>
  <c r="V14" i="1"/>
  <c r="U14" i="1"/>
  <c r="T14" i="1" s="1"/>
  <c r="AM11" i="1"/>
  <c r="AK7" i="1"/>
  <c r="AL7" i="1" s="1"/>
  <c r="E6" i="8" s="1"/>
  <c r="H6" i="8" s="1"/>
  <c r="AK8" i="1"/>
  <c r="AL8" i="1" s="1"/>
  <c r="AM8" i="1" s="1"/>
  <c r="AK9" i="1"/>
  <c r="AL9" i="1" s="1"/>
  <c r="E8" i="8" s="1"/>
  <c r="H8" i="8" s="1"/>
  <c r="AK10" i="1"/>
  <c r="AL10" i="1" s="1"/>
  <c r="E9" i="8" s="1"/>
  <c r="H9" i="8" s="1"/>
  <c r="AK11" i="1"/>
  <c r="AL11" i="1" s="1"/>
  <c r="E10" i="8" s="1"/>
  <c r="H10" i="8" s="1"/>
  <c r="AK12" i="1"/>
  <c r="AL12" i="1" s="1"/>
  <c r="AM12" i="1" s="1"/>
  <c r="AK13" i="1"/>
  <c r="AL13" i="1" s="1"/>
  <c r="AM13" i="1" s="1"/>
  <c r="X7" i="1"/>
  <c r="X6" i="1"/>
  <c r="W6" i="1"/>
  <c r="V7" i="1"/>
  <c r="V6" i="1"/>
  <c r="U7" i="1"/>
  <c r="U6" i="1"/>
  <c r="V5" i="1"/>
  <c r="W5" i="1"/>
  <c r="T5" i="1" s="1"/>
  <c r="T6" i="1" s="1"/>
  <c r="T7" i="1" s="1"/>
  <c r="T8" i="1" s="1"/>
  <c r="T9" i="1" s="1"/>
  <c r="T10" i="1" s="1"/>
  <c r="T11" i="1" s="1"/>
  <c r="T12" i="1" s="1"/>
  <c r="T13" i="1" s="1"/>
  <c r="X5" i="1"/>
  <c r="U5" i="1"/>
  <c r="AK6" i="1"/>
  <c r="AL6" i="1" s="1"/>
  <c r="AM6" i="1" s="1"/>
  <c r="T15" i="1" l="1"/>
  <c r="T16" i="1" s="1"/>
  <c r="T17" i="1" s="1"/>
  <c r="T18" i="1" s="1"/>
  <c r="T19" i="1" s="1"/>
  <c r="AF19" i="1" s="1"/>
  <c r="AF14" i="1"/>
  <c r="AM17" i="1"/>
  <c r="E16" i="8"/>
  <c r="H16" i="8" s="1"/>
  <c r="E13" i="8"/>
  <c r="H13" i="8" s="1"/>
  <c r="AM14" i="1"/>
  <c r="AM15" i="1"/>
  <c r="E14" i="8"/>
  <c r="H14" i="8" s="1"/>
  <c r="E5" i="8"/>
  <c r="H5" i="8" s="1"/>
  <c r="E19" i="8"/>
  <c r="H19" i="8" s="1"/>
  <c r="E18" i="8"/>
  <c r="H18" i="8" s="1"/>
  <c r="AM10" i="1"/>
  <c r="E15" i="8"/>
  <c r="H15" i="8" s="1"/>
  <c r="AM9" i="1"/>
  <c r="AM7" i="1"/>
  <c r="E12" i="8"/>
  <c r="H12" i="8" s="1"/>
  <c r="E7" i="8"/>
  <c r="H7" i="8" s="1"/>
  <c r="AF18" i="1"/>
  <c r="AF16" i="1"/>
  <c r="AB16" i="1"/>
  <c r="AC16" i="1"/>
  <c r="AD16" i="1"/>
  <c r="AF15" i="1"/>
  <c r="B14" i="8" s="1"/>
  <c r="AA16" i="1"/>
  <c r="W8" i="1"/>
  <c r="W7" i="1"/>
  <c r="U9" i="1"/>
  <c r="U8" i="1"/>
  <c r="Z19" i="1" l="1"/>
  <c r="B18" i="8"/>
  <c r="Z16" i="1"/>
  <c r="B15" i="8"/>
  <c r="AE16" i="1"/>
  <c r="Z18" i="1"/>
  <c r="B17" i="8"/>
  <c r="AF17" i="1"/>
  <c r="D35" i="8"/>
  <c r="D37" i="8" s="1"/>
  <c r="AA15" i="1"/>
  <c r="D31" i="8"/>
  <c r="AE14" i="1"/>
  <c r="B13" i="8"/>
  <c r="AE18" i="1"/>
  <c r="AB18" i="1"/>
  <c r="AD18" i="1"/>
  <c r="AA18" i="1"/>
  <c r="T20" i="1"/>
  <c r="AF20" i="1" s="1"/>
  <c r="B19" i="8" s="1"/>
  <c r="AC19" i="1"/>
  <c r="AC18" i="1"/>
  <c r="AE19" i="1"/>
  <c r="AA19" i="1"/>
  <c r="AB17" i="1"/>
  <c r="AG19" i="1"/>
  <c r="AH19" i="1" s="1"/>
  <c r="AG18" i="1"/>
  <c r="AH18" i="1" s="1"/>
  <c r="AC17" i="1"/>
  <c r="AE17" i="1"/>
  <c r="AB19" i="1"/>
  <c r="AD19" i="1"/>
  <c r="AG16" i="1"/>
  <c r="AH16" i="1" s="1"/>
  <c r="AE15" i="1"/>
  <c r="AC15" i="1"/>
  <c r="AD15" i="1"/>
  <c r="AB15" i="1"/>
  <c r="Z15" i="1"/>
  <c r="AA14" i="1"/>
  <c r="AD14" i="1"/>
  <c r="AB14" i="1"/>
  <c r="AC14" i="1"/>
  <c r="Z14" i="1"/>
  <c r="X8" i="1"/>
  <c r="W9" i="1"/>
  <c r="V8" i="1"/>
  <c r="U10" i="1"/>
  <c r="AF5" i="1"/>
  <c r="B4" i="8" s="1"/>
  <c r="AD17" i="1" l="1"/>
  <c r="B16" i="8"/>
  <c r="Z17" i="1"/>
  <c r="AG17" i="1"/>
  <c r="AH17" i="1" s="1"/>
  <c r="AA17" i="1"/>
  <c r="AG20" i="1"/>
  <c r="AH20" i="1" s="1"/>
  <c r="AC20" i="1"/>
  <c r="AE20" i="1"/>
  <c r="AB20" i="1"/>
  <c r="AA20" i="1"/>
  <c r="AD20" i="1"/>
  <c r="Z20" i="1"/>
  <c r="AG15" i="1"/>
  <c r="AH15" i="1" s="1"/>
  <c r="AD5" i="1"/>
  <c r="AC5" i="1"/>
  <c r="AB5" i="1"/>
  <c r="Z5" i="1"/>
  <c r="AA5" i="1"/>
  <c r="AF6" i="1"/>
  <c r="B5" i="8" s="1"/>
  <c r="X9" i="1"/>
  <c r="W10" i="1"/>
  <c r="V9" i="1"/>
  <c r="U11" i="1"/>
  <c r="AF7" i="1"/>
  <c r="B6" i="8" s="1"/>
  <c r="B5" i="4" l="1"/>
  <c r="E12" i="4" s="1"/>
  <c r="AB7" i="1"/>
  <c r="Z7" i="1"/>
  <c r="AD7" i="1"/>
  <c r="AA7" i="1"/>
  <c r="AC7" i="1"/>
  <c r="AG6" i="1"/>
  <c r="AH6" i="1" s="1"/>
  <c r="AI6" i="1" s="1"/>
  <c r="AD6" i="1"/>
  <c r="Z6" i="1"/>
  <c r="AB6" i="1"/>
  <c r="AC6" i="1"/>
  <c r="AA6" i="1"/>
  <c r="AG7" i="1"/>
  <c r="AH7" i="1" s="1"/>
  <c r="X10" i="1"/>
  <c r="W11" i="1"/>
  <c r="V10" i="1"/>
  <c r="U13" i="1"/>
  <c r="U12" i="1"/>
  <c r="AF8" i="1"/>
  <c r="B7" i="8" s="1"/>
  <c r="AG8" i="1" l="1"/>
  <c r="AH8" i="1" s="1"/>
  <c r="Z8" i="1"/>
  <c r="AA8" i="1"/>
  <c r="AC8" i="1"/>
  <c r="AD8" i="1"/>
  <c r="AB8" i="1"/>
  <c r="AI7" i="1"/>
  <c r="X11" i="1"/>
  <c r="W12" i="1"/>
  <c r="W13" i="1"/>
  <c r="V11" i="1"/>
  <c r="AF9" i="1"/>
  <c r="B8" i="8" s="1"/>
  <c r="AI8" i="1" l="1"/>
  <c r="AG9" i="1"/>
  <c r="AH9" i="1" s="1"/>
  <c r="AB9" i="1"/>
  <c r="AC9" i="1"/>
  <c r="AD9" i="1"/>
  <c r="Z9" i="1"/>
  <c r="AA9" i="1"/>
  <c r="X13" i="1"/>
  <c r="X12" i="1"/>
  <c r="V12" i="1"/>
  <c r="V13" i="1"/>
  <c r="AF10" i="1"/>
  <c r="B9" i="8" s="1"/>
  <c r="AF13" i="1" l="1"/>
  <c r="AI9" i="1"/>
  <c r="AC13" i="1"/>
  <c r="AD13" i="1"/>
  <c r="AB13" i="1"/>
  <c r="Z13" i="1"/>
  <c r="AG10" i="1"/>
  <c r="AH10" i="1" s="1"/>
  <c r="Z10" i="1"/>
  <c r="AA10" i="1"/>
  <c r="AC10" i="1"/>
  <c r="AB10" i="1"/>
  <c r="AD10" i="1"/>
  <c r="AF11" i="1"/>
  <c r="B10" i="8" s="1"/>
  <c r="AA13" i="1" l="1"/>
  <c r="B12" i="8"/>
  <c r="AG14" i="1"/>
  <c r="AH14" i="1" s="1"/>
  <c r="AI10" i="1"/>
  <c r="AG11" i="1"/>
  <c r="AH11" i="1" s="1"/>
  <c r="Z11" i="1"/>
  <c r="AA11" i="1"/>
  <c r="AC11" i="1"/>
  <c r="AD11" i="1"/>
  <c r="AB11" i="1"/>
  <c r="AF12" i="1"/>
  <c r="B11" i="8" s="1"/>
  <c r="AI11" i="1" l="1"/>
  <c r="AG12" i="1"/>
  <c r="AH12" i="1" s="1"/>
  <c r="Z12" i="1"/>
  <c r="AA12" i="1"/>
  <c r="AC12" i="1"/>
  <c r="AB12" i="1"/>
  <c r="AD12" i="1"/>
  <c r="D5" i="4"/>
  <c r="B6" i="4"/>
  <c r="D6" i="4" s="1"/>
  <c r="F6" i="4" s="1"/>
  <c r="AI12" i="1" l="1"/>
  <c r="F18" i="8"/>
  <c r="F19" i="8"/>
  <c r="F17" i="8"/>
  <c r="F15" i="8"/>
  <c r="F16" i="8"/>
  <c r="F14" i="8"/>
  <c r="F13" i="8"/>
  <c r="F12" i="8"/>
  <c r="AG13" i="1" l="1"/>
  <c r="C17" i="8"/>
  <c r="C16" i="8"/>
  <c r="C14" i="8"/>
  <c r="C15" i="8"/>
  <c r="F8" i="8"/>
  <c r="F10" i="8"/>
  <c r="C12" i="8"/>
  <c r="F11" i="8"/>
  <c r="C18" i="8"/>
  <c r="C19" i="8"/>
  <c r="F9" i="8"/>
  <c r="F7" i="8"/>
  <c r="C11" i="8"/>
  <c r="C13" i="8"/>
  <c r="G11" i="8" l="1"/>
  <c r="G12" i="8"/>
  <c r="G16" i="8"/>
  <c r="G13" i="8"/>
  <c r="G19" i="8"/>
  <c r="G18" i="8"/>
  <c r="G15" i="8"/>
  <c r="G14" i="8"/>
  <c r="G17" i="8"/>
  <c r="AH13" i="1"/>
  <c r="D17" i="8"/>
  <c r="I16" i="8"/>
  <c r="I17" i="8"/>
  <c r="I15" i="8"/>
  <c r="I14" i="8"/>
  <c r="D14" i="8"/>
  <c r="D16" i="8"/>
  <c r="D15" i="8"/>
  <c r="D36" i="8"/>
  <c r="C9" i="8"/>
  <c r="F6" i="8"/>
  <c r="F5" i="8"/>
  <c r="D18" i="8"/>
  <c r="I18" i="8"/>
  <c r="I13" i="8"/>
  <c r="D13" i="8"/>
  <c r="I11" i="8"/>
  <c r="D11" i="8"/>
  <c r="D12" i="8"/>
  <c r="I12" i="8"/>
  <c r="I19" i="8"/>
  <c r="D19" i="8"/>
  <c r="C10" i="8"/>
  <c r="C8" i="8"/>
  <c r="C5" i="8"/>
  <c r="E5" i="4" l="1"/>
  <c r="D33" i="8"/>
  <c r="G5" i="8"/>
  <c r="I5" i="8"/>
  <c r="G8" i="8"/>
  <c r="G10" i="8"/>
  <c r="D9" i="8"/>
  <c r="G9" i="8"/>
  <c r="AI13" i="1"/>
  <c r="AI14" i="1" s="1"/>
  <c r="AI15" i="1" s="1"/>
  <c r="AI16" i="1" s="1"/>
  <c r="AI17" i="1" s="1"/>
  <c r="AI18" i="1" s="1"/>
  <c r="AI19" i="1" s="1"/>
  <c r="AI20" i="1" s="1"/>
  <c r="F5" i="4"/>
  <c r="F8" i="4" s="1"/>
  <c r="I9" i="8"/>
  <c r="C6" i="8"/>
  <c r="C42" i="8" s="1"/>
  <c r="C12" i="4"/>
  <c r="I10" i="8"/>
  <c r="D10" i="8"/>
  <c r="D8" i="8"/>
  <c r="I8" i="8"/>
  <c r="C7" i="8"/>
  <c r="D5" i="8"/>
  <c r="C35" i="8" l="1"/>
  <c r="C31" i="8"/>
  <c r="I6" i="8"/>
  <c r="G6" i="8"/>
  <c r="G7" i="8"/>
  <c r="D6" i="8"/>
  <c r="C32" i="8" s="1"/>
  <c r="C36" i="8"/>
  <c r="D7" i="8"/>
  <c r="D32" i="8" s="1"/>
  <c r="I7" i="8"/>
  <c r="C40" i="8" s="1"/>
  <c r="C41" i="8" s="1"/>
  <c r="C37" i="8" l="1"/>
  <c r="D34" i="8"/>
  <c r="C33" i="8"/>
  <c r="C34" i="8" s="1"/>
  <c r="B12" i="4" l="1"/>
  <c r="D12" i="4" s="1"/>
  <c r="F12" i="4" s="1"/>
  <c r="F15" i="4" s="1"/>
</calcChain>
</file>

<file path=xl/sharedStrings.xml><?xml version="1.0" encoding="utf-8"?>
<sst xmlns="http://schemas.openxmlformats.org/spreadsheetml/2006/main" count="218" uniqueCount="109">
  <si>
    <t>Date</t>
    <phoneticPr fontId="5" type="noConversion"/>
  </si>
  <si>
    <t>Holdings</t>
    <phoneticPr fontId="5" type="noConversion"/>
  </si>
  <si>
    <t>Value</t>
    <phoneticPr fontId="5" type="noConversion"/>
  </si>
  <si>
    <t>Weight</t>
    <phoneticPr fontId="5" type="noConversion"/>
  </si>
  <si>
    <t>Total AUM</t>
    <phoneticPr fontId="5" type="noConversion"/>
  </si>
  <si>
    <t>Cumulative Return</t>
    <phoneticPr fontId="5" type="noConversion"/>
  </si>
  <si>
    <t>benchmark Value</t>
    <phoneticPr fontId="5" type="noConversion"/>
  </si>
  <si>
    <t>Cash</t>
  </si>
  <si>
    <t>Cash</t>
    <phoneticPr fontId="5" type="noConversion"/>
  </si>
  <si>
    <t xml:space="preserve"> benchmark cumulative return</t>
    <phoneticPr fontId="5" type="noConversion"/>
  </si>
  <si>
    <t>Management fee</t>
    <phoneticPr fontId="5" type="noConversion"/>
  </si>
  <si>
    <t>AUM (include management fee)</t>
    <phoneticPr fontId="5" type="noConversion"/>
  </si>
  <si>
    <t>Portfolio Daily Return</t>
    <phoneticPr fontId="5" type="noConversion"/>
  </si>
  <si>
    <t>Portfolio Daily Return +1</t>
    <phoneticPr fontId="5" type="noConversion"/>
  </si>
  <si>
    <t>Benchmark Daily Return</t>
    <phoneticPr fontId="5" type="noConversion"/>
  </si>
  <si>
    <t>Benchmark Daily Return +1</t>
    <phoneticPr fontId="5" type="noConversion"/>
  </si>
  <si>
    <t>Portfolio Excess Return</t>
    <phoneticPr fontId="5" type="noConversion"/>
  </si>
  <si>
    <t>Benchmark Excess Return</t>
    <phoneticPr fontId="5" type="noConversion"/>
  </si>
  <si>
    <t>RP-RB</t>
    <phoneticPr fontId="5" type="noConversion"/>
  </si>
  <si>
    <t>Arithmetic Average</t>
    <phoneticPr fontId="5" type="noConversion"/>
  </si>
  <si>
    <t>Geometric Average</t>
    <phoneticPr fontId="5" type="noConversion"/>
  </si>
  <si>
    <t>Total Cumulative Return</t>
    <phoneticPr fontId="5" type="noConversion"/>
  </si>
  <si>
    <t>Annualized Cumulative Return</t>
    <phoneticPr fontId="5" type="noConversion"/>
  </si>
  <si>
    <t xml:space="preserve">Total Volatility </t>
    <phoneticPr fontId="5" type="noConversion"/>
  </si>
  <si>
    <t xml:space="preserve">Annualized Volatility </t>
    <phoneticPr fontId="5" type="noConversion"/>
  </si>
  <si>
    <t>Sharpe ratio</t>
    <phoneticPr fontId="5" type="noConversion"/>
  </si>
  <si>
    <t>Alpha</t>
    <phoneticPr fontId="5" type="noConversion"/>
  </si>
  <si>
    <t>Beta</t>
    <phoneticPr fontId="5" type="noConversion"/>
  </si>
  <si>
    <t xml:space="preserve">Active Risk </t>
    <phoneticPr fontId="5" type="noConversion"/>
  </si>
  <si>
    <t>Information Ratio</t>
    <phoneticPr fontId="5" type="noConversion"/>
  </si>
  <si>
    <t xml:space="preserve">Correlation to Benchmark </t>
    <phoneticPr fontId="5" type="noConversion"/>
  </si>
  <si>
    <t>Portfolio</t>
    <phoneticPr fontId="5" type="noConversion"/>
  </si>
  <si>
    <t xml:space="preserve"> Benchmark</t>
    <phoneticPr fontId="5" type="noConversion"/>
  </si>
  <si>
    <t>Multiple R</t>
  </si>
  <si>
    <t>R Square</t>
  </si>
  <si>
    <t>Adjusted R Square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</si>
  <si>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</si>
  <si>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</si>
  <si>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</si>
  <si>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</si>
  <si>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</si>
  <si>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</si>
  <si>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</si>
  <si>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</si>
  <si>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</si>
  <si>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</si>
  <si>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</si>
  <si>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</si>
  <si>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</si>
  <si>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</si>
  <si>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</si>
  <si>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</si>
  <si>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</si>
  <si>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</si>
  <si>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</si>
  <si>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</si>
  <si>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Fama French three factors analysis</t>
  </si>
  <si>
    <t>Portfolio return</t>
    <phoneticPr fontId="5" type="noConversion"/>
  </si>
  <si>
    <t>Mkt-RF</t>
    <phoneticPr fontId="5" type="noConversion"/>
  </si>
  <si>
    <t>SMB</t>
  </si>
  <si>
    <t>HML</t>
  </si>
  <si>
    <t>RF</t>
  </si>
  <si>
    <t>Summary Output of Fama French three factors Model</t>
    <phoneticPr fontId="5" type="noConversion"/>
  </si>
  <si>
    <t>Asset Allocation</t>
    <phoneticPr fontId="5" type="noConversion"/>
  </si>
  <si>
    <t>Portfolio weight</t>
    <phoneticPr fontId="5" type="noConversion"/>
  </si>
  <si>
    <t>Benchmark weight</t>
    <phoneticPr fontId="5" type="noConversion"/>
  </si>
  <si>
    <t>Excess weight</t>
    <phoneticPr fontId="5" type="noConversion"/>
  </si>
  <si>
    <t>Benchmark return</t>
    <phoneticPr fontId="5" type="noConversion"/>
  </si>
  <si>
    <t>Contribution</t>
    <phoneticPr fontId="5" type="noConversion"/>
  </si>
  <si>
    <t>Stocks</t>
    <phoneticPr fontId="5" type="noConversion"/>
  </si>
  <si>
    <t>Contribution of 
Asset Allocation</t>
    <phoneticPr fontId="5" type="noConversion"/>
  </si>
  <si>
    <t>Stock selection</t>
    <phoneticPr fontId="5" type="noConversion"/>
  </si>
  <si>
    <t>Portfolio performance</t>
    <phoneticPr fontId="5" type="noConversion"/>
  </si>
  <si>
    <t>Benchmark performance</t>
    <phoneticPr fontId="5" type="noConversion"/>
  </si>
  <si>
    <t>Excess performance</t>
    <phoneticPr fontId="5" type="noConversion"/>
  </si>
  <si>
    <t>Total excess return 
of portfolio</t>
    <phoneticPr fontId="5" type="noConversion"/>
  </si>
  <si>
    <t>X Variable 1</t>
  </si>
  <si>
    <t>X Variable 2</t>
  </si>
  <si>
    <t>X Variable 3</t>
  </si>
  <si>
    <t>SUMMARY OUTPUT</t>
  </si>
  <si>
    <t>Return $</t>
  </si>
  <si>
    <t>Return (%)</t>
  </si>
  <si>
    <t>Price</t>
  </si>
  <si>
    <t>Shares</t>
  </si>
  <si>
    <t>benchmark return ($)</t>
  </si>
  <si>
    <t>benchmark return (%)</t>
  </si>
  <si>
    <t>Contribution of stock selection</t>
  </si>
  <si>
    <t xml:space="preserve">From CAPM: </t>
  </si>
  <si>
    <t>RP-RF: excess return of asset i or portfolio</t>
  </si>
  <si>
    <t>Mkt-RF: excess market return or risk premium</t>
  </si>
  <si>
    <t>move risk free rate to the left hand side and then regress portfolio excess return (column G) on benchmark excess return (column H)</t>
  </si>
  <si>
    <t xml:space="preserve">Regress </t>
  </si>
  <si>
    <t>RP-RF</t>
  </si>
  <si>
    <t>RP-RF ~ f(Mkt-RF, SMB, HML)</t>
  </si>
  <si>
    <t>Alpha is the intercept</t>
  </si>
  <si>
    <t>Beta is the coefficient of the risk premium</t>
  </si>
  <si>
    <t>ZM</t>
  </si>
  <si>
    <t>EBAY</t>
  </si>
  <si>
    <t>KNX</t>
  </si>
  <si>
    <t>MNST</t>
  </si>
  <si>
    <t xml:space="preserve"> Ganghua Mei</t>
  </si>
  <si>
    <t>BIIB</t>
  </si>
  <si>
    <t>LRCX</t>
  </si>
  <si>
    <t>RHI</t>
  </si>
  <si>
    <t>WSM</t>
  </si>
  <si>
    <t>BIO</t>
  </si>
  <si>
    <t>Portfolio and benchmark statistics  (2022/6/13 - 7/01)</t>
  </si>
  <si>
    <t>Average Risk free rate 
(10-year Treasury Rate)</t>
  </si>
  <si>
    <t>Performance Attribution (2022/6/13 - 7/01)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</si>
</sst>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"/>
    <numFmt numFmtId="165" formatCode="#,##0.0_ "/>
    <numFmt numFmtId="166" formatCode="0.000%"/>
    <numFmt numFmtId="167" formatCode="0.00000"/>
    <numFmt numFmtId="168" formatCode="0.00000_ 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等线"/>
      <charset val="134"/>
    </font>
    <font>
      <sz val="11"/>
      <color theme="1"/>
      <name val="等线"/>
      <charset val="134"/>
    </font>
    <font>
      <sz val="18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b/>
      <sz val="11"/>
      <color theme="1"/>
      <name val="DengXian"/>
      <family val="3"/>
      <charset val="134"/>
    </font>
    <font>
      <b/>
      <sz val="18"/>
      <color theme="1"/>
      <name val="DengXian"/>
      <family val="3"/>
      <charset val="134"/>
    </font>
    <font>
      <b/>
      <sz val="14"/>
      <color theme="1"/>
      <name val="DengXian"/>
      <family val="3"/>
      <charset val="134"/>
    </font>
    <font>
      <sz val="11"/>
      <color rgb="FF00B0F0"/>
      <name val="DengXian"/>
      <family val="3"/>
      <charset val="134"/>
    </font>
    <font>
      <i/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4" fontId="11" fillId="0" borderId="0" xfId="0" applyNumberFormat="1" applyFont="1" applyAlignment="1">
      <alignment horizontal="left" vertical="center"/>
    </xf>
    <xf numFmtId="10" fontId="10" fillId="0" borderId="0" xfId="0" applyNumberFormat="1" applyFont="1">
      <alignment vertical="center"/>
    </xf>
    <xf numFmtId="166" fontId="10" fillId="0" borderId="0" xfId="1" applyNumberFormat="1" applyFont="1">
      <alignment vertical="center"/>
    </xf>
    <xf numFmtId="166" fontId="10" fillId="0" borderId="0" xfId="0" applyNumberFormat="1" applyFont="1">
      <alignment vertical="center"/>
    </xf>
    <xf numFmtId="0" fontId="13" fillId="0" borderId="0" xfId="0" applyFont="1">
      <alignment vertical="center"/>
    </xf>
    <xf numFmtId="10" fontId="14" fillId="0" borderId="0" xfId="0" applyNumberFormat="1" applyFont="1">
      <alignment vertical="center"/>
    </xf>
    <xf numFmtId="0" fontId="11" fillId="0" borderId="0" xfId="0" applyFont="1" applyAlignment="1">
      <alignment horizontal="left" vertical="center" wrapText="1"/>
    </xf>
    <xf numFmtId="3" fontId="10" fillId="0" borderId="0" xfId="0" applyNumberFormat="1" applyFont="1">
      <alignment vertical="center"/>
    </xf>
    <xf numFmtId="0" fontId="10" fillId="2" borderId="1" xfId="0" applyFont="1" applyFill="1" applyBorder="1">
      <alignment vertical="center"/>
    </xf>
    <xf numFmtId="0" fontId="11" fillId="2" borderId="4" xfId="0" applyFont="1" applyFill="1" applyBorder="1" applyAlignment="1">
      <alignment horizontal="center" vertical="center"/>
    </xf>
    <xf numFmtId="10" fontId="11" fillId="2" borderId="4" xfId="1" applyNumberFormat="1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166" fontId="10" fillId="2" borderId="4" xfId="0" applyNumberFormat="1" applyFont="1" applyFill="1" applyBorder="1" applyAlignment="1">
      <alignment horizontal="center" vertical="center"/>
    </xf>
    <xf numFmtId="0" fontId="11" fillId="2" borderId="2" xfId="0" applyFont="1" applyFill="1" applyBorder="1">
      <alignment vertical="center"/>
    </xf>
    <xf numFmtId="166" fontId="10" fillId="2" borderId="0" xfId="1" applyNumberFormat="1" applyFont="1" applyFill="1" applyBorder="1" applyAlignment="1">
      <alignment horizontal="center" vertical="center"/>
    </xf>
    <xf numFmtId="166" fontId="10" fillId="2" borderId="0" xfId="0" applyNumberFormat="1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11" fillId="2" borderId="3" xfId="0" applyFont="1" applyFill="1" applyBorder="1">
      <alignment vertical="center"/>
    </xf>
    <xf numFmtId="167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0" xfId="0" applyFont="1" applyFill="1">
      <alignment vertical="center"/>
    </xf>
    <xf numFmtId="10" fontId="10" fillId="2" borderId="0" xfId="0" applyNumberFormat="1" applyFont="1" applyFill="1">
      <alignment vertical="center"/>
    </xf>
    <xf numFmtId="9" fontId="10" fillId="2" borderId="0" xfId="0" applyNumberFormat="1" applyFont="1" applyFill="1">
      <alignment vertical="center"/>
    </xf>
    <xf numFmtId="0" fontId="11" fillId="2" borderId="7" xfId="0" applyFont="1" applyFill="1" applyBorder="1">
      <alignment vertical="center"/>
    </xf>
    <xf numFmtId="10" fontId="10" fillId="2" borderId="7" xfId="0" applyNumberFormat="1" applyFont="1" applyFill="1" applyBorder="1">
      <alignment vertical="center"/>
    </xf>
    <xf numFmtId="9" fontId="10" fillId="2" borderId="7" xfId="0" applyNumberFormat="1" applyFont="1" applyFill="1" applyBorder="1">
      <alignment vertical="center"/>
    </xf>
    <xf numFmtId="0" fontId="10" fillId="2" borderId="7" xfId="0" applyFont="1" applyFill="1" applyBorder="1">
      <alignment vertical="center"/>
    </xf>
    <xf numFmtId="0" fontId="11" fillId="2" borderId="0" xfId="0" applyFont="1" applyFill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10" fontId="10" fillId="2" borderId="7" xfId="1" applyNumberFormat="1" applyFont="1" applyFill="1" applyBorder="1">
      <alignment vertical="center"/>
    </xf>
    <xf numFmtId="10" fontId="10" fillId="2" borderId="0" xfId="1" applyNumberFormat="1" applyFont="1" applyFill="1">
      <alignment vertical="center"/>
    </xf>
    <xf numFmtId="0" fontId="11" fillId="0" borderId="11" xfId="0" applyFont="1" applyBorder="1">
      <alignment vertical="center"/>
    </xf>
    <xf numFmtId="0" fontId="11" fillId="0" borderId="9" xfId="0" applyFont="1" applyBorder="1">
      <alignment vertical="center"/>
    </xf>
    <xf numFmtId="10" fontId="11" fillId="0" borderId="9" xfId="1" applyNumberFormat="1" applyFont="1" applyBorder="1">
      <alignment vertical="center"/>
    </xf>
    <xf numFmtId="0" fontId="11" fillId="0" borderId="10" xfId="0" applyFont="1" applyBorder="1">
      <alignment vertical="center"/>
    </xf>
    <xf numFmtId="0" fontId="0" fillId="0" borderId="7" xfId="0" applyBorder="1">
      <alignment vertical="center"/>
    </xf>
    <xf numFmtId="10" fontId="10" fillId="0" borderId="0" xfId="1" applyNumberFormat="1" applyFo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bewteen My Portfolio and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312891360164"/>
          <c:y val="0.15782414074725221"/>
          <c:w val="0.88116155220621606"/>
          <c:h val="0.80947718530433099"/>
        </c:manualLayout>
      </c:layout>
      <c:barChart>
        <c:barDir val="col"/>
        <c:grouping val="clustered"/>
        <c:varyColors val="0"/>
        <c:ser>
          <c:idx val="0"/>
          <c:order val="0"/>
          <c:tx>
            <c:v>My Portfolio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4503782821540038E-3"/>
                  <c:y val="-8.73743993010048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A-43DD-962E-1E217DE6B2A7}"/>
                </c:ext>
              </c:extLst>
            </c:dLbl>
            <c:dLbl>
              <c:idx val="2"/>
              <c:layout>
                <c:manualLayout>
                  <c:x val="-2.2168480451430876E-2"/>
                  <c:y val="-3.95882818685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EA-43DD-962E-1E217DE6B2A7}"/>
                </c:ext>
              </c:extLst>
            </c:dLbl>
            <c:dLbl>
              <c:idx val="4"/>
              <c:layout>
                <c:manualLayout>
                  <c:x val="-1.335113484646195E-2"/>
                  <c:y val="-4.3687199650502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EA-43DD-962E-1E217DE6B2A7}"/>
                </c:ext>
              </c:extLst>
            </c:dLbl>
            <c:dLbl>
              <c:idx val="7"/>
              <c:layout>
                <c:manualLayout>
                  <c:x val="-2.67022696929239E-2"/>
                  <c:y val="-4.3687199650502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A-43DD-962E-1E217DE6B2A7}"/>
                </c:ext>
              </c:extLst>
            </c:dLbl>
            <c:dLbl>
              <c:idx val="9"/>
              <c:layout>
                <c:manualLayout>
                  <c:x val="-2.2251891410769997E-2"/>
                  <c:y val="-3.05810397553516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EA-43DD-962E-1E217DE6B2A7}"/>
                </c:ext>
              </c:extLst>
            </c:dLbl>
            <c:dLbl>
              <c:idx val="10"/>
              <c:layout>
                <c:manualLayout>
                  <c:x val="-1.410721483272859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EA-43DD-962E-1E217DE6B2A7}"/>
                </c:ext>
              </c:extLst>
            </c:dLbl>
            <c:dLbl>
              <c:idx val="11"/>
              <c:layout>
                <c:manualLayout>
                  <c:x val="-1.6122531237404421E-2"/>
                  <c:y val="1.451553566710117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EA-43DD-962E-1E217DE6B2A7}"/>
                </c:ext>
              </c:extLst>
            </c:dLbl>
            <c:dLbl>
              <c:idx val="12"/>
              <c:layout>
                <c:manualLayout>
                  <c:x val="-1.4778816241474237E-16"/>
                  <c:y val="0.11084718923198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EA-43DD-962E-1E217DE6B2A7}"/>
                </c:ext>
              </c:extLst>
            </c:dLbl>
            <c:dLbl>
              <c:idx val="13"/>
              <c:layout>
                <c:manualLayout>
                  <c:x val="-8.9007565643079659E-3"/>
                  <c:y val="-4.3687199650502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EA-43DD-962E-1E217DE6B2A7}"/>
                </c:ext>
              </c:extLst>
            </c:dLbl>
            <c:dLbl>
              <c:idx val="14"/>
              <c:layout>
                <c:manualLayout>
                  <c:x val="-2.0153164046755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EA-43DD-962E-1E217DE6B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Data'!$AH$6:$AH$20</c:f>
              <c:numCache>
                <c:formatCode>0.00%</c:formatCode>
                <c:ptCount val="15"/>
                <c:pt idx="0">
                  <c:v>3.7859985351560172E-3</c:v>
                </c:pt>
                <c:pt idx="1">
                  <c:v>5.7143685219394483E-3</c:v>
                </c:pt>
                <c:pt idx="2">
                  <c:v>-8.2613364561774788E-3</c:v>
                </c:pt>
                <c:pt idx="3">
                  <c:v>5.9449719401807165E-3</c:v>
                </c:pt>
                <c:pt idx="4">
                  <c:v>9.8894432225078346E-3</c:v>
                </c:pt>
                <c:pt idx="5">
                  <c:v>4.2238005749854219E-3</c:v>
                </c:pt>
                <c:pt idx="6">
                  <c:v>1.2606358640796036E-2</c:v>
                </c:pt>
                <c:pt idx="7">
                  <c:v>3.1338159867260268E-2</c:v>
                </c:pt>
                <c:pt idx="8">
                  <c:v>1.5449364165730096E-9</c:v>
                </c:pt>
                <c:pt idx="9">
                  <c:v>-4.6275459041996616E-3</c:v>
                </c:pt>
                <c:pt idx="10">
                  <c:v>9.2981192822004302E-3</c:v>
                </c:pt>
                <c:pt idx="11">
                  <c:v>-9.2124607235106407E-3</c:v>
                </c:pt>
                <c:pt idx="12">
                  <c:v>-2.2375540262232194E-3</c:v>
                </c:pt>
                <c:pt idx="13">
                  <c:v>-4.403192198890511E-3</c:v>
                </c:pt>
                <c:pt idx="14">
                  <c:v>9.4511226613520059E-4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3DD-962E-1E217DE6B2A7}"/>
            </c:ext>
          </c:extLst>
        </c:ser>
        <c:ser>
          <c:idx val="1"/>
          <c:order val="1"/>
          <c:tx>
            <c:v>SP500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8.900756564308007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EA-43DD-962E-1E217DE6B2A7}"/>
                </c:ext>
              </c:extLst>
            </c:dLbl>
            <c:dLbl>
              <c:idx val="5"/>
              <c:layout>
                <c:manualLayout>
                  <c:x val="1.8137847642079732E-2"/>
                  <c:y val="-5.14644547103821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EA-43DD-962E-1E217DE6B2A7}"/>
                </c:ext>
              </c:extLst>
            </c:dLbl>
            <c:dLbl>
              <c:idx val="6"/>
              <c:layout>
                <c:manualLayout>
                  <c:x val="6.045949214026602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EA-43DD-962E-1E217DE6B2A7}"/>
                </c:ext>
              </c:extLst>
            </c:dLbl>
            <c:dLbl>
              <c:idx val="7"/>
              <c:layout>
                <c:manualLayout>
                  <c:x val="4.8954161103693813E-2"/>
                  <c:y val="-4.3687199650502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A-43DD-962E-1E217DE6B2A7}"/>
                </c:ext>
              </c:extLst>
            </c:dLbl>
            <c:dLbl>
              <c:idx val="12"/>
              <c:layout>
                <c:manualLayout>
                  <c:x val="1.3561016481162346E-2"/>
                  <c:y val="-3.2080223938753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EA-43DD-962E-1E217DE6B2A7}"/>
                </c:ext>
              </c:extLst>
            </c:dLbl>
            <c:dLbl>
              <c:idx val="13"/>
              <c:layout>
                <c:manualLayout>
                  <c:x val="1.5576323987538778E-2"/>
                  <c:y val="-6.5530799475753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EA-43DD-962E-1E217DE6B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Data'!$AL$6:$AL$20</c:f>
              <c:numCache>
                <c:formatCode>0.00%</c:formatCode>
                <c:ptCount val="15"/>
                <c:pt idx="0">
                  <c:v>-3.7736799208243333E-3</c:v>
                </c:pt>
                <c:pt idx="1">
                  <c:v>1.4592504923557363E-2</c:v>
                </c:pt>
                <c:pt idx="2">
                  <c:v>-3.2511951304652419E-2</c:v>
                </c:pt>
                <c:pt idx="3">
                  <c:v>2.2008655999647317E-3</c:v>
                </c:pt>
                <c:pt idx="4">
                  <c:v>2.4477242232587744E-2</c:v>
                </c:pt>
                <c:pt idx="5">
                  <c:v>-1.3015721857629866E-3</c:v>
                </c:pt>
                <c:pt idx="6">
                  <c:v>9.5322171712330078E-3</c:v>
                </c:pt>
                <c:pt idx="7">
                  <c:v>3.056329365135714E-2</c:v>
                </c:pt>
                <c:pt idx="8">
                  <c:v>-2.9730715818870324E-3</c:v>
                </c:pt>
                <c:pt idx="9">
                  <c:v>-2.0143035925831627E-2</c:v>
                </c:pt>
                <c:pt idx="10">
                  <c:v>2.0557118706467589E-2</c:v>
                </c:pt>
                <c:pt idx="11">
                  <c:v>-2.0143035925831627E-2</c:v>
                </c:pt>
                <c:pt idx="12">
                  <c:v>-7.1174548681149222E-4</c:v>
                </c:pt>
                <c:pt idx="13">
                  <c:v>-8.7592781864540177E-3</c:v>
                </c:pt>
                <c:pt idx="14">
                  <c:v>1.0553813945970054E-2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3DD-962E-1E217DE6B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6015696"/>
        <c:axId val="946026928"/>
      </c:barChart>
      <c:catAx>
        <c:axId val="9460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26928"/>
        <c:crosses val="autoZero"/>
        <c:auto val="1"/>
        <c:lblAlgn val="ctr"/>
        <c:lblOffset val="100"/>
        <c:noMultiLvlLbl val="0"/>
      </c:catAx>
      <c:valAx>
        <c:axId val="9460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Cumulative Returns bewteen My Portfolio and SP500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My Portfolio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Data'!$AI$6:$AI$20</c:f>
              <c:numCache>
                <c:formatCode>0.00%</c:formatCode>
                <c:ptCount val="15"/>
                <c:pt idx="0">
                  <c:v>1.003785998535156</c:v>
                </c:pt>
                <c:pt idx="1">
                  <c:v>1.0095220016479489</c:v>
                </c:pt>
                <c:pt idx="2">
                  <c:v>1.0011820007324215</c:v>
                </c:pt>
                <c:pt idx="3">
                  <c:v>1.0071339996337898</c:v>
                </c:pt>
                <c:pt idx="4">
                  <c:v>1.0170939941406254</c:v>
                </c:pt>
                <c:pt idx="5">
                  <c:v>1.021389996337891</c:v>
                </c:pt>
                <c:pt idx="6">
                  <c:v>1.0342660049438479</c:v>
                </c:pt>
                <c:pt idx="7">
                  <c:v>1.0666779983520507</c:v>
                </c:pt>
                <c:pt idx="8">
                  <c:v>1.0666780000000005</c:v>
                </c:pt>
                <c:pt idx="9">
                  <c:v>1.0617418985900005</c:v>
                </c:pt>
                <c:pt idx="10">
                  <c:v>1.0716141014100002</c:v>
                </c:pt>
                <c:pt idx="11">
                  <c:v>1.0617418985900005</c:v>
                </c:pt>
                <c:pt idx="12">
                  <c:v>1.0593661937300005</c:v>
                </c:pt>
                <c:pt idx="13">
                  <c:v>1.0547016007700003</c:v>
                </c:pt>
                <c:pt idx="14">
                  <c:v>1.0556984121900006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3-4C3B-A2AB-CD1E142FE94F}"/>
            </c:ext>
          </c:extLst>
        </c:ser>
        <c:ser>
          <c:idx val="1"/>
          <c:order val="1"/>
          <c:tx>
            <c:v>SP500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Data'!$AM$6:$AM$20</c:f>
              <c:numCache>
                <c:formatCode>0.00%</c:formatCode>
                <c:ptCount val="15"/>
                <c:pt idx="0">
                  <c:v>0.99622632007917566</c:v>
                </c:pt>
                <c:pt idx="1">
                  <c:v>1.0145925049235573</c:v>
                </c:pt>
                <c:pt idx="2">
                  <c:v>0.96748804869534755</c:v>
                </c:pt>
                <c:pt idx="3">
                  <c:v>1.0022008655999648</c:v>
                </c:pt>
                <c:pt idx="4">
                  <c:v>1.0244772422325878</c:v>
                </c:pt>
                <c:pt idx="5">
                  <c:v>0.99869842781423701</c:v>
                </c:pt>
                <c:pt idx="6">
                  <c:v>1.0095322171712331</c:v>
                </c:pt>
                <c:pt idx="7">
                  <c:v>1.0305632936513571</c:v>
                </c:pt>
                <c:pt idx="8">
                  <c:v>0.99702692841811302</c:v>
                </c:pt>
                <c:pt idx="9">
                  <c:v>0.97985696407416834</c:v>
                </c:pt>
                <c:pt idx="10">
                  <c:v>1.0205571187064675</c:v>
                </c:pt>
                <c:pt idx="11">
                  <c:v>0.97985696407416834</c:v>
                </c:pt>
                <c:pt idx="12">
                  <c:v>0.99928825451318848</c:v>
                </c:pt>
                <c:pt idx="13">
                  <c:v>0.99124072181354594</c:v>
                </c:pt>
                <c:pt idx="14">
                  <c:v>1.01055381394597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3-4C3B-A2AB-CD1E142F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341888"/>
        <c:axId val="1756345216"/>
      </c:lineChart>
      <c:catAx>
        <c:axId val="175634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45216"/>
        <c:crosses val="autoZero"/>
        <c:auto val="1"/>
        <c:lblAlgn val="ctr"/>
        <c:lblOffset val="100"/>
        <c:noMultiLvlLbl val="0"/>
      </c:catAx>
      <c:valAx>
        <c:axId val="17563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190500</xdr:colOff>
      <xdr:row>22</xdr:row>
      <xdr:rowOff>167640</xdr:rowOff>
    </xdr:from>
    <xdr:to>
      <xdr:col>35</xdr:col>
      <xdr:colOff>571500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DC456-5838-442B-B33B-721E6676C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327660</xdr:colOff>
      <xdr:row>23</xdr:row>
      <xdr:rowOff>15240</xdr:rowOff>
    </xdr:from>
    <xdr:to>
      <xdr:col>39</xdr:col>
      <xdr:colOff>45720</xdr:colOff>
      <xdr:row>40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D5FE6-7FED-452D-AE25-1DCCB7BE5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1581151</xdr:colOff>
      <xdr:row>24</xdr:row>
      <xdr:rowOff>47625</xdr:rowOff>
    </xdr:from>
    <xdr:to>
      <xdr:col>6</xdr:col>
      <xdr:colOff>1781176</xdr:colOff>
      <xdr:row>27</xdr:row>
      <xdr:rowOff>53370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E1B06-D419-408A-8D73-134DABAD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6" y="9858375"/>
          <a:ext cx="2190750" cy="577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1609725</xdr:colOff>
      <xdr:row>28</xdr:row>
      <xdr:rowOff>76200</xdr:rowOff>
    </xdr:from>
    <xdr:to>
      <xdr:col>6</xdr:col>
      <xdr:colOff>1647825</xdr:colOff>
      <xdr:row>30</xdr:row>
      <xdr:rowOff>137853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3C88E1-4D33-4096-A37C-D8D780D8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10648950"/>
          <a:ext cx="2028825" cy="44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219075</xdr:rowOff>
    </xdr:from>
    <xdr:to>
      <xdr:col>12</xdr:col>
      <xdr:colOff>57150</xdr:colOff>
      <xdr:row>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E65DC-CF18-458D-8C28-C7F275D4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219075"/>
          <a:ext cx="41814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8</xdr:row>
      <xdr:rowOff>152400</xdr:rowOff>
    </xdr:from>
    <xdr:to>
      <xdr:col>8</xdr:col>
      <xdr:colOff>533400</xdr:colOff>
      <xdr:row>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8161E-502F-476D-956E-DF9ADC0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7811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9</xdr:row>
      <xdr:rowOff>180975</xdr:rowOff>
    </xdr:from>
    <xdr:to>
      <xdr:col>8</xdr:col>
      <xdr:colOff>552450</xdr:colOff>
      <xdr:row>11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3B14A5-E861-4F9F-8EDA-3704286A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0002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5"/>
  <sheetViews>
    <sheetView tabSelected="1" zoomScale="55" zoomScaleNormal="55" workbookViewId="0">
      <pane xSplit="1" ySplit="4" topLeftCell="AF18" activePane="bottomRight" state="frozen"/>
      <selection pane="topRight" activeCell="B1" sqref="B1"/>
      <selection pane="bottomLeft" activeCell="A5" sqref="A5"/>
      <selection pane="bottomRight" activeCell="AS29" sqref="AS29"/>
    </sheetView>
  </sheetViews>
  <sheetFormatPr defaultColWidth="8.65234375" defaultRowHeight="14.6"/>
  <cols>
    <col min="1" max="1" width="14" style="47" customWidth="1"/>
    <col min="2" max="2" width="8.65234375" style="47"/>
    <col min="3" max="3" width="13" style="47" customWidth="1"/>
    <col min="4" max="7" width="8.65234375" style="47"/>
    <col min="8" max="8" width="10" style="47" customWidth="1"/>
    <col min="9" max="12" width="8.765625" style="47" bestFit="1" customWidth="1"/>
    <col min="13" max="14" width="8.65234375" style="47"/>
    <col min="15" max="18" width="8.765625" style="47" bestFit="1" customWidth="1"/>
    <col min="19" max="19" width="8.65234375" style="47"/>
    <col min="20" max="20" width="13" style="47" customWidth="1"/>
    <col min="21" max="21" width="11.65234375" style="47" bestFit="1" customWidth="1"/>
    <col min="22" max="22" width="12.65234375" style="47" bestFit="1" customWidth="1"/>
    <col min="23" max="24" width="8.765625" style="47" bestFit="1" customWidth="1"/>
    <col min="25" max="25" width="8.65234375" style="47"/>
    <col min="26" max="26" width="8.765625" style="47" bestFit="1" customWidth="1"/>
    <col min="27" max="27" width="11.65234375" style="47" bestFit="1" customWidth="1"/>
    <col min="28" max="30" width="8.765625" style="47" bestFit="1" customWidth="1"/>
    <col min="31" max="31" width="8.65234375" style="47"/>
    <col min="32" max="32" width="13.11328125" style="47" customWidth="1"/>
    <col min="33" max="33" width="11.53515625" style="47" customWidth="1"/>
    <col min="34" max="34" width="12.11328125" style="47" customWidth="1"/>
    <col min="35" max="35" width="23.34375" style="47" bestFit="1" customWidth="1"/>
    <col min="36" max="36" width="18.34375" style="47" customWidth="1"/>
    <col min="37" max="37" width="27.421875" style="47" customWidth="1"/>
    <col min="38" max="38" width="26.65234375" style="47" customWidth="1"/>
    <col min="39" max="39" width="28.65234375" style="47" customWidth="1"/>
    <col min="40" max="16384" width="8.65234375" style="47"/>
  </cols>
  <sheetData>
    <row r="1" spans="1:39">
      <c r="A1" s="47" t="s">
        <v>100</v>
      </c>
    </row>
    <row r="3" spans="1:39" ht="15.25" thickBot="1"/>
    <row r="4" spans="1:39" ht="16.5" thickBot="1">
      <c r="A4" s="48" t="s">
        <v>0</v>
      </c>
      <c r="B4" s="62" t="s">
        <v>1</v>
      </c>
      <c r="C4" s="63"/>
      <c r="D4" s="63"/>
      <c r="E4" s="63"/>
      <c r="F4" s="63"/>
      <c r="G4" s="64"/>
      <c r="H4" s="62" t="s">
        <v>82</v>
      </c>
      <c r="I4" s="63"/>
      <c r="J4" s="63"/>
      <c r="K4" s="63"/>
      <c r="L4" s="63"/>
      <c r="M4" s="64"/>
      <c r="N4" s="62" t="s">
        <v>83</v>
      </c>
      <c r="O4" s="63"/>
      <c r="P4" s="63"/>
      <c r="Q4" s="63"/>
      <c r="R4" s="63"/>
      <c r="S4" s="64"/>
      <c r="T4" s="62" t="s">
        <v>2</v>
      </c>
      <c r="U4" s="63"/>
      <c r="V4" s="63"/>
      <c r="W4" s="63"/>
      <c r="X4" s="63"/>
      <c r="Y4" s="64"/>
      <c r="Z4" s="62" t="s">
        <v>3</v>
      </c>
      <c r="AA4" s="63"/>
      <c r="AB4" s="63"/>
      <c r="AC4" s="63"/>
      <c r="AD4" s="63"/>
      <c r="AE4" s="64"/>
      <c r="AF4" s="48" t="s">
        <v>4</v>
      </c>
      <c r="AG4" s="48" t="s">
        <v>80</v>
      </c>
      <c r="AH4" s="48" t="s">
        <v>81</v>
      </c>
      <c r="AI4" s="48" t="s">
        <v>5</v>
      </c>
      <c r="AJ4" s="48" t="s">
        <v>6</v>
      </c>
      <c r="AK4" s="48" t="s">
        <v>84</v>
      </c>
      <c r="AL4" s="48" t="s">
        <v>85</v>
      </c>
      <c r="AM4" s="48" t="s">
        <v>9</v>
      </c>
    </row>
    <row r="5" spans="1:39">
      <c r="A5" s="49">
        <v>44725</v>
      </c>
      <c r="B5" s="47" t="s">
        <v>8</v>
      </c>
      <c r="C5" s="47" t="s">
        <v>97</v>
      </c>
      <c r="D5" s="47" t="s">
        <v>98</v>
      </c>
      <c r="E5" s="59" t="s">
        <v>99</v>
      </c>
      <c r="F5" s="47" t="s">
        <v>96</v>
      </c>
      <c r="I5" s="47">
        <v>42.930000305175703</v>
      </c>
      <c r="J5" s="47">
        <v>45.220001220703097</v>
      </c>
      <c r="K5" s="47">
        <v>84.489997863769503</v>
      </c>
      <c r="L5" s="47">
        <v>103.31999969482401</v>
      </c>
      <c r="O5" s="47">
        <v>1200</v>
      </c>
      <c r="P5" s="47">
        <v>1200</v>
      </c>
      <c r="Q5" s="47">
        <v>600</v>
      </c>
      <c r="R5" s="47">
        <v>600</v>
      </c>
      <c r="T5" s="50">
        <f>1000000-SUM(U5:X5)</f>
        <v>781533.9996337893</v>
      </c>
      <c r="U5" s="47">
        <f>I5*O5</f>
        <v>51516.000366210843</v>
      </c>
      <c r="V5" s="47">
        <f t="shared" ref="V5:X5" si="0">J5*P5</f>
        <v>54264.001464843714</v>
      </c>
      <c r="W5" s="47">
        <f t="shared" si="0"/>
        <v>50693.998718261704</v>
      </c>
      <c r="X5" s="47">
        <f t="shared" si="0"/>
        <v>61991.9998168944</v>
      </c>
      <c r="Z5" s="51">
        <f>T5/AF5</f>
        <v>0.78153399963378933</v>
      </c>
      <c r="AA5" s="51">
        <f>U5/AF5</f>
        <v>5.1516000366210846E-2</v>
      </c>
      <c r="AB5" s="51">
        <f>V5/AF5</f>
        <v>5.4264001464843711E-2</v>
      </c>
      <c r="AC5" s="51">
        <f>W5/AF5</f>
        <v>5.0693998718261704E-2</v>
      </c>
      <c r="AD5" s="51">
        <f>X5/AF5</f>
        <v>6.1991999816894398E-2</v>
      </c>
      <c r="AF5" s="50">
        <f>SUM(T5:X5)</f>
        <v>1000000</v>
      </c>
      <c r="AG5" s="52"/>
      <c r="AH5" s="52"/>
      <c r="AJ5" s="53">
        <v>3749.6298830000001</v>
      </c>
      <c r="AL5" s="54"/>
    </row>
    <row r="6" spans="1:39">
      <c r="A6" s="49">
        <v>44726</v>
      </c>
      <c r="B6" s="47" t="s">
        <v>7</v>
      </c>
      <c r="C6" s="47" t="s">
        <v>97</v>
      </c>
      <c r="D6" s="47" t="s">
        <v>98</v>
      </c>
      <c r="E6" s="47" t="s">
        <v>99</v>
      </c>
      <c r="F6" s="47" t="s">
        <v>96</v>
      </c>
      <c r="I6" s="47">
        <v>42.580001831054602</v>
      </c>
      <c r="J6" s="47">
        <v>45.169998168945298</v>
      </c>
      <c r="K6" s="47">
        <v>88.059997558593693</v>
      </c>
      <c r="L6" s="47">
        <v>106.86000061035099</v>
      </c>
      <c r="O6" s="47">
        <v>1200</v>
      </c>
      <c r="P6" s="47">
        <v>1200</v>
      </c>
      <c r="Q6" s="47">
        <v>600</v>
      </c>
      <c r="R6" s="47">
        <v>600</v>
      </c>
      <c r="T6" s="50">
        <f>T5-(O6-O5)*I6-(P6-P5)*J6-(Q6-Q5)*K6-(R6-R5)*L6</f>
        <v>781533.9996337893</v>
      </c>
      <c r="U6" s="47">
        <f t="shared" ref="U6:U15" si="1">I6*O6</f>
        <v>51096.002197265523</v>
      </c>
      <c r="V6" s="47">
        <f t="shared" ref="V6:V15" si="2">J6*P6</f>
        <v>54203.99780273436</v>
      </c>
      <c r="W6" s="47">
        <f t="shared" ref="W6:W15" si="3">K6*Q6</f>
        <v>52835.998535156214</v>
      </c>
      <c r="X6" s="47">
        <f t="shared" ref="X6:Y15" si="4">L6*R6</f>
        <v>64116.000366210596</v>
      </c>
      <c r="Z6" s="51">
        <f t="shared" ref="Z6:Z14" si="5">T6/AF6</f>
        <v>0.77858627314417284</v>
      </c>
      <c r="AA6" s="51">
        <f t="shared" ref="AA6:AA14" si="6">U6/AF6</f>
        <v>5.0903282444496031E-2</v>
      </c>
      <c r="AB6" s="51">
        <f t="shared" ref="AB6:AB14" si="7">V6/AF6</f>
        <v>5.3999555564468206E-2</v>
      </c>
      <c r="AC6" s="51">
        <f t="shared" ref="AC6:AC14" si="8">W6/AF6</f>
        <v>5.2636716005464101E-2</v>
      </c>
      <c r="AD6" s="51">
        <f t="shared" ref="AD6:AD14" si="9">X6/AF6</f>
        <v>6.3874172841398763E-2</v>
      </c>
      <c r="AF6" s="50">
        <f t="shared" ref="AF6:AF13" si="10">SUM(T6:X6)</f>
        <v>1003785.998535156</v>
      </c>
      <c r="AG6" s="55">
        <f t="shared" ref="AG6:AG12" si="11">AF6-AF5</f>
        <v>3785.9985351560172</v>
      </c>
      <c r="AH6" s="54">
        <f t="shared" ref="AH6:AH15" si="12">AG6/AF5</f>
        <v>3.7859985351560172E-3</v>
      </c>
      <c r="AI6" s="54">
        <f>1+AH6</f>
        <v>1.003785998535156</v>
      </c>
      <c r="AJ6" s="53">
        <v>3735.4799800000001</v>
      </c>
      <c r="AK6" s="56">
        <f>AJ6-AJ5</f>
        <v>-14.149902999999995</v>
      </c>
      <c r="AL6" s="54">
        <f>AK6/AJ5</f>
        <v>-3.7736799208243333E-3</v>
      </c>
      <c r="AM6" s="54">
        <f>1*(1+AL6)</f>
        <v>0.99622632007917566</v>
      </c>
    </row>
    <row r="7" spans="1:39">
      <c r="A7" s="49">
        <v>44727</v>
      </c>
      <c r="B7" s="47" t="s">
        <v>7</v>
      </c>
      <c r="C7" s="47" t="s">
        <v>97</v>
      </c>
      <c r="D7" s="47" t="s">
        <v>98</v>
      </c>
      <c r="E7" s="47" t="s">
        <v>99</v>
      </c>
      <c r="F7" s="47" t="s">
        <v>96</v>
      </c>
      <c r="I7" s="47">
        <v>43.509998321533203</v>
      </c>
      <c r="J7" s="47">
        <v>46.080001831054602</v>
      </c>
      <c r="K7" s="47">
        <v>87.870002746582003</v>
      </c>
      <c r="L7" s="47">
        <v>112.930000305175</v>
      </c>
      <c r="O7" s="47">
        <v>1200</v>
      </c>
      <c r="P7" s="47">
        <v>1200</v>
      </c>
      <c r="Q7" s="47">
        <v>600</v>
      </c>
      <c r="R7" s="47">
        <v>600</v>
      </c>
      <c r="T7" s="50">
        <f t="shared" ref="T7:T13" si="13">T6-(O7-O6)*I7-(P7-P6)*J7-(Q7-Q6)*K7-(R7-R6)*L7</f>
        <v>781533.9996337893</v>
      </c>
      <c r="U7" s="47">
        <f t="shared" si="1"/>
        <v>52211.997985839844</v>
      </c>
      <c r="V7" s="47">
        <f t="shared" si="2"/>
        <v>55296.002197265523</v>
      </c>
      <c r="W7" s="47">
        <f t="shared" si="3"/>
        <v>52722.001647949204</v>
      </c>
      <c r="X7" s="47">
        <f t="shared" si="4"/>
        <v>67758.000183105003</v>
      </c>
      <c r="Z7" s="51">
        <f t="shared" si="5"/>
        <v>0.77416242375897626</v>
      </c>
      <c r="AA7" s="51">
        <f t="shared" si="6"/>
        <v>5.1719524587486666E-2</v>
      </c>
      <c r="AB7" s="51">
        <f t="shared" si="7"/>
        <v>5.4774439890363999E-2</v>
      </c>
      <c r="AC7" s="51">
        <f t="shared" si="8"/>
        <v>5.222471779900343E-2</v>
      </c>
      <c r="AD7" s="51">
        <f t="shared" si="9"/>
        <v>6.7118893964169674E-2</v>
      </c>
      <c r="AF7" s="50">
        <f t="shared" si="10"/>
        <v>1009522.0016479489</v>
      </c>
      <c r="AG7" s="55">
        <f t="shared" si="11"/>
        <v>5736.0031127928523</v>
      </c>
      <c r="AH7" s="54">
        <f t="shared" si="12"/>
        <v>5.7143685219394483E-3</v>
      </c>
      <c r="AI7" s="54">
        <f>AI6*(1+AH7)</f>
        <v>1.0095220016479489</v>
      </c>
      <c r="AJ7" s="53">
        <v>3789.98999</v>
      </c>
      <c r="AK7" s="56">
        <f t="shared" ref="AK7:AK15" si="14">AJ7-AJ6</f>
        <v>54.510009999999966</v>
      </c>
      <c r="AL7" s="54">
        <f t="shared" ref="AL7:AL15" si="15">AK7/AJ6</f>
        <v>1.4592504923557363E-2</v>
      </c>
      <c r="AM7" s="54">
        <f t="shared" ref="AM7:AM15" si="16">1*(1+AL7)</f>
        <v>1.0145925049235573</v>
      </c>
    </row>
    <row r="8" spans="1:39">
      <c r="A8" s="49">
        <v>44728</v>
      </c>
      <c r="B8" s="47" t="s">
        <v>7</v>
      </c>
      <c r="C8" s="47" t="s">
        <v>97</v>
      </c>
      <c r="D8" s="47" t="s">
        <v>98</v>
      </c>
      <c r="E8" s="47" t="s">
        <v>99</v>
      </c>
      <c r="F8" s="47" t="s">
        <v>96</v>
      </c>
      <c r="I8" s="47">
        <v>41.080001831054602</v>
      </c>
      <c r="J8" s="47">
        <v>44.970001220703097</v>
      </c>
      <c r="K8" s="47">
        <v>87.889999389648395</v>
      </c>
      <c r="L8" s="47">
        <v>106.08999633789</v>
      </c>
      <c r="O8" s="47">
        <v>2400</v>
      </c>
      <c r="P8" s="47">
        <v>2400</v>
      </c>
      <c r="Q8" s="47">
        <v>1200</v>
      </c>
      <c r="R8" s="47">
        <v>1200</v>
      </c>
      <c r="T8" s="50">
        <f t="shared" si="13"/>
        <v>561885.99853515695</v>
      </c>
      <c r="U8" s="47">
        <f t="shared" si="1"/>
        <v>98592.004394531046</v>
      </c>
      <c r="V8" s="47">
        <f t="shared" si="2"/>
        <v>107928.00292968743</v>
      </c>
      <c r="W8" s="47">
        <f t="shared" si="3"/>
        <v>105467.99926757807</v>
      </c>
      <c r="X8" s="47">
        <f t="shared" si="4"/>
        <v>127307.99560546799</v>
      </c>
      <c r="Z8" s="51">
        <f t="shared" si="5"/>
        <v>0.56122263297193264</v>
      </c>
      <c r="AA8" s="51">
        <f t="shared" si="6"/>
        <v>9.8475606155929096E-2</v>
      </c>
      <c r="AB8" s="51">
        <f t="shared" si="7"/>
        <v>0.10780058256214352</v>
      </c>
      <c r="AC8" s="51">
        <f t="shared" si="8"/>
        <v>0.10534348319328778</v>
      </c>
      <c r="AD8" s="51">
        <f t="shared" si="9"/>
        <v>0.12715769511670702</v>
      </c>
      <c r="AF8" s="50">
        <f t="shared" si="10"/>
        <v>1001182.0007324214</v>
      </c>
      <c r="AG8" s="55">
        <f t="shared" si="11"/>
        <v>-8340.0009155274602</v>
      </c>
      <c r="AH8" s="54">
        <f t="shared" si="12"/>
        <v>-8.2613364561774788E-3</v>
      </c>
      <c r="AI8" s="54">
        <f t="shared" ref="AI8:AI16" si="17">AI7*(1+AH8)</f>
        <v>1.0011820007324215</v>
      </c>
      <c r="AJ8" s="53">
        <v>3666.7700199999999</v>
      </c>
      <c r="AK8" s="56">
        <f t="shared" si="14"/>
        <v>-123.2199700000001</v>
      </c>
      <c r="AL8" s="54">
        <f t="shared" si="15"/>
        <v>-3.2511951304652419E-2</v>
      </c>
      <c r="AM8" s="54">
        <f t="shared" si="16"/>
        <v>0.96748804869534755</v>
      </c>
    </row>
    <row r="9" spans="1:39">
      <c r="A9" s="49">
        <v>44729</v>
      </c>
      <c r="B9" s="47" t="s">
        <v>7</v>
      </c>
      <c r="C9" s="47" t="s">
        <v>97</v>
      </c>
      <c r="D9" s="47" t="s">
        <v>98</v>
      </c>
      <c r="E9" s="47" t="s">
        <v>99</v>
      </c>
      <c r="F9" s="47" t="s">
        <v>96</v>
      </c>
      <c r="I9" s="47">
        <v>42.209999084472599</v>
      </c>
      <c r="J9" s="47">
        <v>44.25</v>
      </c>
      <c r="K9" s="47">
        <v>88.120002746582003</v>
      </c>
      <c r="L9" s="47">
        <v>110</v>
      </c>
      <c r="O9" s="47">
        <v>2400</v>
      </c>
      <c r="P9" s="47">
        <v>2400</v>
      </c>
      <c r="Q9" s="47">
        <v>1200</v>
      </c>
      <c r="R9" s="47">
        <v>1200</v>
      </c>
      <c r="T9" s="50">
        <f t="shared" si="13"/>
        <v>561885.99853515695</v>
      </c>
      <c r="U9" s="47">
        <f t="shared" si="1"/>
        <v>101303.99780273424</v>
      </c>
      <c r="V9" s="47">
        <f t="shared" si="2"/>
        <v>106200</v>
      </c>
      <c r="W9" s="47">
        <f t="shared" si="3"/>
        <v>105744.00329589841</v>
      </c>
      <c r="X9" s="47">
        <f t="shared" si="4"/>
        <v>132000</v>
      </c>
      <c r="Z9" s="51">
        <f t="shared" si="5"/>
        <v>0.55790589806268864</v>
      </c>
      <c r="AA9" s="51">
        <f t="shared" si="6"/>
        <v>0.10058641435952916</v>
      </c>
      <c r="AB9" s="51">
        <f t="shared" si="7"/>
        <v>0.10544773589077129</v>
      </c>
      <c r="AC9" s="51">
        <f t="shared" si="8"/>
        <v>0.10499496922390532</v>
      </c>
      <c r="AD9" s="51">
        <f t="shared" si="9"/>
        <v>0.13106498246310555</v>
      </c>
      <c r="AF9" s="50">
        <f t="shared" si="10"/>
        <v>1007133.9996337896</v>
      </c>
      <c r="AG9" s="55">
        <f t="shared" si="11"/>
        <v>5951.9989013682352</v>
      </c>
      <c r="AH9" s="54">
        <f t="shared" si="12"/>
        <v>5.9449719401807165E-3</v>
      </c>
      <c r="AI9" s="54">
        <f t="shared" si="17"/>
        <v>1.0071339996337898</v>
      </c>
      <c r="AJ9" s="53">
        <v>3674.8400879999999</v>
      </c>
      <c r="AK9" s="56">
        <f t="shared" si="14"/>
        <v>8.070067999999992</v>
      </c>
      <c r="AL9" s="54">
        <f t="shared" si="15"/>
        <v>2.2008655999647317E-3</v>
      </c>
      <c r="AM9" s="54">
        <f t="shared" si="16"/>
        <v>1.0022008655999648</v>
      </c>
    </row>
    <row r="10" spans="1:39">
      <c r="A10" s="49">
        <v>44733</v>
      </c>
      <c r="B10" s="47" t="s">
        <v>7</v>
      </c>
      <c r="C10" s="47" t="s">
        <v>97</v>
      </c>
      <c r="D10" s="47" t="s">
        <v>98</v>
      </c>
      <c r="E10" s="47" t="s">
        <v>99</v>
      </c>
      <c r="F10" s="47" t="s">
        <v>96</v>
      </c>
      <c r="I10" s="47">
        <v>42.290000915527301</v>
      </c>
      <c r="J10" s="47">
        <v>45.049999237060497</v>
      </c>
      <c r="K10" s="47">
        <v>90.839996337890597</v>
      </c>
      <c r="L10" s="47">
        <v>113.81999969482401</v>
      </c>
      <c r="O10" s="47">
        <v>3600</v>
      </c>
      <c r="P10" s="47">
        <v>3600</v>
      </c>
      <c r="Q10" s="47">
        <v>2400</v>
      </c>
      <c r="R10" s="47">
        <v>2400</v>
      </c>
      <c r="T10" s="50">
        <f t="shared" si="13"/>
        <v>211486.00311279405</v>
      </c>
      <c r="U10" s="47">
        <f t="shared" si="1"/>
        <v>152244.00329589829</v>
      </c>
      <c r="V10" s="47">
        <f t="shared" si="2"/>
        <v>162179.99725341779</v>
      </c>
      <c r="W10" s="47">
        <f t="shared" si="3"/>
        <v>218015.99121093744</v>
      </c>
      <c r="X10" s="47">
        <f t="shared" si="4"/>
        <v>273167.9992675776</v>
      </c>
      <c r="Z10" s="51">
        <f t="shared" si="5"/>
        <v>0.20793162119837827</v>
      </c>
      <c r="AA10" s="51">
        <f t="shared" si="6"/>
        <v>0.14968528392947011</v>
      </c>
      <c r="AB10" s="51">
        <f t="shared" si="7"/>
        <v>0.15945428661236838</v>
      </c>
      <c r="AC10" s="51">
        <f t="shared" si="8"/>
        <v>0.21435186174228274</v>
      </c>
      <c r="AD10" s="51">
        <f t="shared" si="9"/>
        <v>0.26857694651750041</v>
      </c>
      <c r="AF10" s="50">
        <f t="shared" si="10"/>
        <v>1017093.9941406252</v>
      </c>
      <c r="AG10" s="55">
        <f t="shared" si="11"/>
        <v>9959.9945068355883</v>
      </c>
      <c r="AH10" s="54">
        <f t="shared" si="12"/>
        <v>9.8894432225078346E-3</v>
      </c>
      <c r="AI10" s="54">
        <f t="shared" si="17"/>
        <v>1.0170939941406254</v>
      </c>
      <c r="AJ10" s="53">
        <v>3764.790039</v>
      </c>
      <c r="AK10" s="56">
        <f t="shared" si="14"/>
        <v>89.949951000000056</v>
      </c>
      <c r="AL10" s="54">
        <f t="shared" si="15"/>
        <v>2.4477242232587744E-2</v>
      </c>
      <c r="AM10" s="54">
        <f t="shared" si="16"/>
        <v>1.0244772422325878</v>
      </c>
    </row>
    <row r="11" spans="1:39">
      <c r="A11" s="49">
        <v>44734</v>
      </c>
      <c r="B11" s="47" t="s">
        <v>7</v>
      </c>
      <c r="C11" s="47" t="s">
        <v>97</v>
      </c>
      <c r="D11" s="47" t="s">
        <v>98</v>
      </c>
      <c r="E11" s="47" t="s">
        <v>99</v>
      </c>
      <c r="F11" s="47" t="s">
        <v>96</v>
      </c>
      <c r="I11" s="47">
        <v>43.130001068115199</v>
      </c>
      <c r="J11" s="47">
        <v>44.569999694824197</v>
      </c>
      <c r="K11" s="47">
        <v>90.739997863769503</v>
      </c>
      <c r="L11" s="47">
        <v>115.169998168945</v>
      </c>
      <c r="O11" s="47">
        <v>3600</v>
      </c>
      <c r="P11" s="47">
        <v>3600</v>
      </c>
      <c r="Q11" s="47">
        <v>2400</v>
      </c>
      <c r="R11" s="47">
        <v>2400</v>
      </c>
      <c r="T11" s="50">
        <f t="shared" si="13"/>
        <v>211486.00311279405</v>
      </c>
      <c r="U11" s="47">
        <f t="shared" si="1"/>
        <v>155268.00384521473</v>
      </c>
      <c r="V11" s="47">
        <f t="shared" si="2"/>
        <v>160451.9989013671</v>
      </c>
      <c r="W11" s="47">
        <f t="shared" si="3"/>
        <v>217775.99487304682</v>
      </c>
      <c r="X11" s="47">
        <f t="shared" si="4"/>
        <v>276407.99560546799</v>
      </c>
      <c r="Z11" s="51">
        <f t="shared" si="5"/>
        <v>0.20705705349676384</v>
      </c>
      <c r="AA11" s="51">
        <f t="shared" si="6"/>
        <v>0.15201637415866154</v>
      </c>
      <c r="AB11" s="51">
        <f t="shared" si="7"/>
        <v>0.15709180575162718</v>
      </c>
      <c r="AC11" s="51">
        <f t="shared" si="8"/>
        <v>0.21321531995992191</v>
      </c>
      <c r="AD11" s="51">
        <f t="shared" si="9"/>
        <v>0.27061944663302556</v>
      </c>
      <c r="AF11" s="50">
        <f t="shared" si="10"/>
        <v>1021389.9963378906</v>
      </c>
      <c r="AG11" s="55">
        <f t="shared" si="11"/>
        <v>4296.0021972653922</v>
      </c>
      <c r="AH11" s="54">
        <f t="shared" si="12"/>
        <v>4.2238005749854219E-3</v>
      </c>
      <c r="AI11" s="54">
        <f t="shared" si="17"/>
        <v>1.021389996337891</v>
      </c>
      <c r="AJ11" s="53">
        <v>3759.889893</v>
      </c>
      <c r="AK11" s="56">
        <f t="shared" si="14"/>
        <v>-4.9001459999999497</v>
      </c>
      <c r="AL11" s="54">
        <f t="shared" si="15"/>
        <v>-1.3015721857629866E-3</v>
      </c>
      <c r="AM11" s="54">
        <f t="shared" si="16"/>
        <v>0.99869842781423701</v>
      </c>
    </row>
    <row r="12" spans="1:39">
      <c r="A12" s="49">
        <v>44735</v>
      </c>
      <c r="B12" s="47" t="s">
        <v>7</v>
      </c>
      <c r="C12" s="47" t="s">
        <v>97</v>
      </c>
      <c r="D12" s="47" t="s">
        <v>98</v>
      </c>
      <c r="E12" s="47" t="s">
        <v>99</v>
      </c>
      <c r="F12" s="47" t="s">
        <v>96</v>
      </c>
      <c r="I12" s="47">
        <v>42.970001220703097</v>
      </c>
      <c r="J12" s="47">
        <v>45.680000305175703</v>
      </c>
      <c r="K12" s="47">
        <v>92.180000305175696</v>
      </c>
      <c r="L12" s="47">
        <v>117.669998168945</v>
      </c>
      <c r="O12" s="47">
        <v>3600</v>
      </c>
      <c r="P12" s="47">
        <v>3600</v>
      </c>
      <c r="Q12" s="47">
        <v>2400</v>
      </c>
      <c r="R12" s="47">
        <v>2400</v>
      </c>
      <c r="T12" s="50">
        <f t="shared" si="13"/>
        <v>211486.00311279405</v>
      </c>
      <c r="U12" s="47">
        <f t="shared" si="1"/>
        <v>154692.00439453113</v>
      </c>
      <c r="V12" s="47">
        <f t="shared" si="2"/>
        <v>164448.00109863252</v>
      </c>
      <c r="W12" s="47">
        <f t="shared" si="3"/>
        <v>221232.00073242167</v>
      </c>
      <c r="X12" s="47">
        <f t="shared" si="4"/>
        <v>282407.99560546799</v>
      </c>
      <c r="Z12" s="51">
        <f t="shared" si="5"/>
        <v>0.20447931393072916</v>
      </c>
      <c r="AA12" s="51">
        <f t="shared" si="6"/>
        <v>0.14956694279333846</v>
      </c>
      <c r="AB12" s="51">
        <f t="shared" si="7"/>
        <v>0.1589997160426449</v>
      </c>
      <c r="AC12" s="51">
        <f t="shared" si="8"/>
        <v>0.21390241937269594</v>
      </c>
      <c r="AD12" s="51">
        <f t="shared" si="9"/>
        <v>0.27305160786059146</v>
      </c>
      <c r="AF12" s="50">
        <f t="shared" si="10"/>
        <v>1034266.0049438474</v>
      </c>
      <c r="AG12" s="55">
        <f t="shared" si="11"/>
        <v>12876.008605956798</v>
      </c>
      <c r="AH12" s="54">
        <f t="shared" si="12"/>
        <v>1.2606358640796036E-2</v>
      </c>
      <c r="AI12" s="54">
        <f t="shared" si="17"/>
        <v>1.0342660049438479</v>
      </c>
      <c r="AJ12" s="53">
        <v>3795.7299800000001</v>
      </c>
      <c r="AK12" s="56">
        <f t="shared" si="14"/>
        <v>35.84008700000004</v>
      </c>
      <c r="AL12" s="54">
        <f t="shared" si="15"/>
        <v>9.5322171712330078E-3</v>
      </c>
      <c r="AM12" s="54">
        <f t="shared" si="16"/>
        <v>1.0095322171712331</v>
      </c>
    </row>
    <row r="13" spans="1:39">
      <c r="A13" s="49">
        <v>44736</v>
      </c>
      <c r="B13" s="47" t="s">
        <v>7</v>
      </c>
      <c r="C13" s="47" t="s">
        <v>97</v>
      </c>
      <c r="D13" s="47" t="s">
        <v>98</v>
      </c>
      <c r="E13" s="47" t="s">
        <v>99</v>
      </c>
      <c r="F13" s="61" t="s">
        <v>96</v>
      </c>
      <c r="I13" s="47">
        <v>45.669998168945298</v>
      </c>
      <c r="J13" s="47">
        <v>47.069999694824197</v>
      </c>
      <c r="K13" s="47">
        <v>94.580001831054602</v>
      </c>
      <c r="L13" s="47">
        <v>122.639999389648</v>
      </c>
      <c r="O13" s="47">
        <v>3600</v>
      </c>
      <c r="P13" s="47">
        <v>3600</v>
      </c>
      <c r="Q13" s="47">
        <v>2400</v>
      </c>
      <c r="R13" s="47">
        <v>2400</v>
      </c>
      <c r="T13" s="50">
        <f t="shared" si="13"/>
        <v>211486.00311279405</v>
      </c>
      <c r="U13" s="47">
        <f t="shared" si="1"/>
        <v>164411.99340820307</v>
      </c>
      <c r="V13" s="47">
        <f t="shared" si="2"/>
        <v>169451.9989013671</v>
      </c>
      <c r="W13" s="47">
        <f t="shared" si="3"/>
        <v>226992.00439453105</v>
      </c>
      <c r="X13" s="47">
        <f t="shared" si="4"/>
        <v>294335.9985351552</v>
      </c>
      <c r="Z13" s="51">
        <f t="shared" si="5"/>
        <v>0.19826602164807605</v>
      </c>
      <c r="AA13" s="51">
        <f t="shared" si="6"/>
        <v>0.15413460637812831</v>
      </c>
      <c r="AB13" s="51">
        <f t="shared" si="7"/>
        <v>0.15885956133262302</v>
      </c>
      <c r="AC13" s="51">
        <f t="shared" si="8"/>
        <v>0.21280274341949423</v>
      </c>
      <c r="AD13" s="51">
        <f t="shared" si="9"/>
        <v>0.27593706722167854</v>
      </c>
      <c r="AF13" s="50">
        <f t="shared" si="10"/>
        <v>1066677.9983520503</v>
      </c>
      <c r="AG13" s="55">
        <f>AF13-AF12</f>
        <v>32411.993408202892</v>
      </c>
      <c r="AH13" s="54">
        <f t="shared" si="12"/>
        <v>3.1338159867260268E-2</v>
      </c>
      <c r="AI13" s="54">
        <f t="shared" si="17"/>
        <v>1.0666779983520507</v>
      </c>
      <c r="AJ13" s="53">
        <v>3911.73999</v>
      </c>
      <c r="AK13" s="56">
        <f t="shared" si="14"/>
        <v>116.01000999999997</v>
      </c>
      <c r="AL13" s="54">
        <f t="shared" si="15"/>
        <v>3.056329365135714E-2</v>
      </c>
      <c r="AM13" s="54">
        <f t="shared" si="16"/>
        <v>1.0305632936513571</v>
      </c>
    </row>
    <row r="14" spans="1:39">
      <c r="A14" s="49">
        <v>44736</v>
      </c>
      <c r="B14" s="47" t="s">
        <v>7</v>
      </c>
      <c r="C14" s="47" t="s">
        <v>101</v>
      </c>
      <c r="D14" s="47" t="s">
        <v>102</v>
      </c>
      <c r="E14" s="47" t="s">
        <v>103</v>
      </c>
      <c r="F14" s="47" t="s">
        <v>104</v>
      </c>
      <c r="G14" s="47" t="str">
        <f>$G$15</f>
        <v>BIO</v>
      </c>
      <c r="I14" s="47">
        <v>213.570007</v>
      </c>
      <c r="J14" s="47">
        <v>449.790009</v>
      </c>
      <c r="K14" s="47">
        <v>77.559997999999993</v>
      </c>
      <c r="L14" s="47">
        <v>122.32</v>
      </c>
      <c r="M14" s="47">
        <v>507.69000199999999</v>
      </c>
      <c r="O14" s="47">
        <v>100</v>
      </c>
      <c r="P14" s="47">
        <v>50</v>
      </c>
      <c r="Q14" s="47">
        <v>1000</v>
      </c>
      <c r="R14" s="47">
        <v>150</v>
      </c>
      <c r="S14" s="47">
        <v>70</v>
      </c>
      <c r="T14" s="57">
        <f>1066678-SUM(U14:Y14)</f>
        <v>891385.20071</v>
      </c>
      <c r="U14" s="47">
        <f t="shared" si="1"/>
        <v>21357.000700000001</v>
      </c>
      <c r="V14" s="47">
        <f t="shared" si="2"/>
        <v>22489.50045</v>
      </c>
      <c r="W14" s="47">
        <f t="shared" si="3"/>
        <v>77559.997999999992</v>
      </c>
      <c r="X14" s="47">
        <f t="shared" si="4"/>
        <v>18348</v>
      </c>
      <c r="Y14" s="47">
        <f t="shared" si="4"/>
        <v>35538.300139999999</v>
      </c>
      <c r="Z14" s="51">
        <f t="shared" si="5"/>
        <v>0.83566474672769098</v>
      </c>
      <c r="AA14" s="51">
        <f t="shared" si="6"/>
        <v>2.0021975422761133E-2</v>
      </c>
      <c r="AB14" s="51">
        <f t="shared" si="7"/>
        <v>2.1083682657746763E-2</v>
      </c>
      <c r="AC14" s="51">
        <f t="shared" si="8"/>
        <v>7.2711725562915885E-2</v>
      </c>
      <c r="AD14" s="51">
        <f t="shared" si="9"/>
        <v>1.7201067238660588E-2</v>
      </c>
      <c r="AE14" s="51">
        <f>Y14/AF14</f>
        <v>3.3316802390224602E-2</v>
      </c>
      <c r="AF14" s="50">
        <f>SUM(T14:Y14)</f>
        <v>1066678</v>
      </c>
      <c r="AG14" s="55">
        <f t="shared" ref="AG14:AG15" si="18">AF14-AF13</f>
        <v>1.6479496844112873E-3</v>
      </c>
      <c r="AH14" s="54">
        <f t="shared" si="12"/>
        <v>1.5449364165730096E-9</v>
      </c>
      <c r="AI14" s="54">
        <f t="shared" si="17"/>
        <v>1.0666780000000005</v>
      </c>
      <c r="AJ14" s="53">
        <v>3900.110107</v>
      </c>
      <c r="AK14" s="56">
        <f t="shared" si="14"/>
        <v>-11.629883000000063</v>
      </c>
      <c r="AL14" s="54">
        <f t="shared" si="15"/>
        <v>-2.9730715818870324E-3</v>
      </c>
      <c r="AM14" s="54">
        <f t="shared" si="16"/>
        <v>0.99702692841811302</v>
      </c>
    </row>
    <row r="15" spans="1:39">
      <c r="A15" s="49">
        <v>44739</v>
      </c>
      <c r="B15" s="47" t="s">
        <v>7</v>
      </c>
      <c r="C15" s="47" t="s">
        <v>101</v>
      </c>
      <c r="D15" s="47" t="s">
        <v>102</v>
      </c>
      <c r="E15" s="47" t="s">
        <v>103</v>
      </c>
      <c r="F15" s="47" t="s">
        <v>104</v>
      </c>
      <c r="G15" s="58" t="s">
        <v>105</v>
      </c>
      <c r="I15" s="47">
        <v>202.509995</v>
      </c>
      <c r="J15" s="47">
        <v>438.26001000000002</v>
      </c>
      <c r="K15" s="47">
        <v>75.769997000000004</v>
      </c>
      <c r="L15" s="47">
        <v>118.410004</v>
      </c>
      <c r="M15" s="47">
        <v>495.16000400000001</v>
      </c>
      <c r="O15" s="47">
        <v>200</v>
      </c>
      <c r="P15" s="47">
        <v>100</v>
      </c>
      <c r="Q15" s="47">
        <v>2000</v>
      </c>
      <c r="R15" s="47">
        <v>300</v>
      </c>
      <c r="S15" s="47">
        <v>140</v>
      </c>
      <c r="T15" s="50">
        <f>T14-(O15-O14)*I15-(P15-P14)*J15-(Q15-Q14)*K15-(R15-R14)*L15-(S15-S14)*M15</f>
        <v>721028.50283000001</v>
      </c>
      <c r="U15" s="47">
        <f t="shared" si="1"/>
        <v>40501.999000000003</v>
      </c>
      <c r="V15" s="47">
        <f t="shared" si="2"/>
        <v>43826.001000000004</v>
      </c>
      <c r="W15" s="47">
        <f t="shared" si="3"/>
        <v>151539.99400000001</v>
      </c>
      <c r="X15" s="47">
        <f t="shared" si="4"/>
        <v>35523.001199999999</v>
      </c>
      <c r="Y15" s="47">
        <f t="shared" si="4"/>
        <v>69322.400560000009</v>
      </c>
      <c r="Z15" s="51">
        <f t="shared" ref="Z15" si="19">T15/AF15</f>
        <v>0.67909960395038604</v>
      </c>
      <c r="AA15" s="51">
        <f t="shared" ref="AA15" si="20">U15/AF15</f>
        <v>3.8146746449195336E-2</v>
      </c>
      <c r="AB15" s="51">
        <f t="shared" ref="AB15" si="21">V15/AF15</f>
        <v>4.1277452701264976E-2</v>
      </c>
      <c r="AC15" s="51">
        <f t="shared" ref="AC15" si="22">W15/AF15</f>
        <v>0.14272771395877479</v>
      </c>
      <c r="AD15" s="51">
        <f t="shared" ref="AD15" si="23">X15/AF15</f>
        <v>3.345728490810692E-2</v>
      </c>
      <c r="AE15" s="51">
        <f>Y15/AF15</f>
        <v>6.529119803227186E-2</v>
      </c>
      <c r="AF15" s="50">
        <f>SUM(T15:Y15)</f>
        <v>1061741.8985900001</v>
      </c>
      <c r="AG15" s="55">
        <f t="shared" si="18"/>
        <v>-4936.1014099998865</v>
      </c>
      <c r="AH15" s="54">
        <f t="shared" si="12"/>
        <v>-4.6275459041996616E-3</v>
      </c>
      <c r="AI15" s="54">
        <f t="shared" si="17"/>
        <v>1.0617418985900005</v>
      </c>
      <c r="AJ15" s="53">
        <v>3821.5500489999999</v>
      </c>
      <c r="AK15" s="56">
        <f t="shared" si="14"/>
        <v>-78.560058000000026</v>
      </c>
      <c r="AL15" s="54">
        <f t="shared" si="15"/>
        <v>-2.0143035925831627E-2</v>
      </c>
      <c r="AM15" s="54">
        <f t="shared" si="16"/>
        <v>0.97985696407416834</v>
      </c>
    </row>
    <row r="16" spans="1:39">
      <c r="A16" s="49">
        <v>44739</v>
      </c>
      <c r="B16" s="47" t="s">
        <v>7</v>
      </c>
      <c r="C16" s="47" t="s">
        <v>101</v>
      </c>
      <c r="D16" s="47" t="s">
        <v>102</v>
      </c>
      <c r="E16" s="47" t="s">
        <v>103</v>
      </c>
      <c r="F16" s="47" t="s">
        <v>104</v>
      </c>
      <c r="G16" s="58" t="s">
        <v>105</v>
      </c>
      <c r="I16" s="47">
        <v>213.570007</v>
      </c>
      <c r="J16" s="47">
        <v>449.790009</v>
      </c>
      <c r="K16" s="47">
        <v>77.559997999999993</v>
      </c>
      <c r="L16" s="47">
        <v>122.32</v>
      </c>
      <c r="M16" s="47">
        <v>507.69000199999999</v>
      </c>
      <c r="O16" s="47">
        <v>200</v>
      </c>
      <c r="P16" s="47">
        <v>100</v>
      </c>
      <c r="Q16" s="47">
        <v>2000</v>
      </c>
      <c r="R16" s="47">
        <v>300</v>
      </c>
      <c r="S16" s="47">
        <v>140</v>
      </c>
      <c r="T16" s="50">
        <f>T15-(O16-O15)*I16-(P16-P15)*J16-(Q16-Q15)*K16-(R16-R15)*L16-(S16-S15)*M16</f>
        <v>721028.50283000001</v>
      </c>
      <c r="U16" s="47">
        <f t="shared" ref="U16" si="24">I16*O16</f>
        <v>42714.001400000001</v>
      </c>
      <c r="V16" s="47">
        <f t="shared" ref="V16" si="25">J16*P16</f>
        <v>44979.000899999999</v>
      </c>
      <c r="W16" s="47">
        <f t="shared" ref="W16" si="26">K16*Q16</f>
        <v>155119.99599999998</v>
      </c>
      <c r="X16" s="47">
        <f t="shared" ref="X16" si="27">L16*R16</f>
        <v>36696</v>
      </c>
      <c r="Y16" s="47">
        <f t="shared" ref="Y16" si="28">M16*S16</f>
        <v>71076.600279999999</v>
      </c>
      <c r="Z16" s="51">
        <f t="shared" ref="Z16" si="29">T16/AF16</f>
        <v>0.67284342552164145</v>
      </c>
      <c r="AA16" s="51">
        <f t="shared" ref="AA16" si="30">U16/AF16</f>
        <v>3.9859499183332987E-2</v>
      </c>
      <c r="AB16" s="51">
        <f t="shared" ref="AB16" si="31">V16/AF16</f>
        <v>4.1973132717102069E-2</v>
      </c>
      <c r="AC16" s="51">
        <f t="shared" ref="AC16" si="32">W16/AF16</f>
        <v>0.14475359720994474</v>
      </c>
      <c r="AD16" s="51">
        <f t="shared" ref="AD16" si="33">X16/AF16</f>
        <v>3.424367032098255E-2</v>
      </c>
      <c r="AE16" s="51">
        <f>Y16/AF16</f>
        <v>6.6326675046996297E-2</v>
      </c>
      <c r="AF16" s="50">
        <f>SUM(T16:Y16)</f>
        <v>1071614.1014099999</v>
      </c>
      <c r="AG16" s="55">
        <f t="shared" ref="AG16" si="34">AF16-AF15</f>
        <v>9872.2028199997731</v>
      </c>
      <c r="AH16" s="54">
        <f t="shared" ref="AH16" si="35">AG16/AF15</f>
        <v>9.2981192822004302E-3</v>
      </c>
      <c r="AI16" s="54">
        <f t="shared" si="17"/>
        <v>1.0716141014100002</v>
      </c>
      <c r="AJ16" s="60">
        <v>3900.110107</v>
      </c>
      <c r="AK16" s="56">
        <f t="shared" ref="AK16:AK20" si="36">AJ16-AJ15</f>
        <v>78.560058000000026</v>
      </c>
      <c r="AL16" s="54">
        <f t="shared" ref="AL16:AL20" si="37">AK16/AJ15</f>
        <v>2.0557118706467589E-2</v>
      </c>
      <c r="AM16" s="54">
        <f t="shared" ref="AM16:AM20" si="38">1*(1+AL16)</f>
        <v>1.0205571187064675</v>
      </c>
    </row>
    <row r="17" spans="1:39">
      <c r="A17" s="49">
        <v>44740</v>
      </c>
      <c r="B17" s="47" t="s">
        <v>7</v>
      </c>
      <c r="C17" s="47" t="s">
        <v>101</v>
      </c>
      <c r="D17" s="47" t="s">
        <v>102</v>
      </c>
      <c r="E17" s="47" t="s">
        <v>103</v>
      </c>
      <c r="F17" s="47" t="s">
        <v>104</v>
      </c>
      <c r="G17" s="58" t="s">
        <v>105</v>
      </c>
      <c r="I17" s="47">
        <v>202.509995</v>
      </c>
      <c r="J17" s="47">
        <v>438.26001000000002</v>
      </c>
      <c r="K17" s="47">
        <v>75.769997000000004</v>
      </c>
      <c r="L17" s="47">
        <v>118.410004</v>
      </c>
      <c r="M17" s="47">
        <v>495.16000400000001</v>
      </c>
      <c r="O17" s="47">
        <v>300</v>
      </c>
      <c r="P17" s="47">
        <v>150</v>
      </c>
      <c r="Q17" s="47">
        <v>3000</v>
      </c>
      <c r="R17" s="47">
        <v>400</v>
      </c>
      <c r="S17" s="47">
        <v>180</v>
      </c>
      <c r="T17" s="50">
        <f>T16-(O17-O16)*I17-(P17-P16)*J17-(Q17-Q16)*K17-(R17-R16)*L17-(S17-S16)*M17</f>
        <v>571447.10527000006</v>
      </c>
      <c r="U17" s="47">
        <f t="shared" ref="U17:U18" si="39">I17*O17</f>
        <v>60752.998500000002</v>
      </c>
      <c r="V17" s="47">
        <f t="shared" ref="V17:V18" si="40">J17*P17</f>
        <v>65739.001499999998</v>
      </c>
      <c r="W17" s="47">
        <f t="shared" ref="W17:W18" si="41">K17*Q17</f>
        <v>227309.99100000001</v>
      </c>
      <c r="X17" s="47">
        <f t="shared" ref="X17:X18" si="42">L17*R17</f>
        <v>47364.001600000003</v>
      </c>
      <c r="Y17" s="47">
        <f t="shared" ref="Y17:Y18" si="43">M17*S17</f>
        <v>89128.800719999999</v>
      </c>
      <c r="Z17" s="51">
        <f t="shared" ref="Z17" si="44">T17/AF17</f>
        <v>0.53821659108384567</v>
      </c>
      <c r="AA17" s="51">
        <f t="shared" ref="AA17" si="45">U17/AF17</f>
        <v>5.7220119673793E-2</v>
      </c>
      <c r="AB17" s="51">
        <f t="shared" ref="AB17" si="46">V17/AF17</f>
        <v>6.1916179051897453E-2</v>
      </c>
      <c r="AC17" s="51">
        <f t="shared" ref="AC17" si="47">W17/AF17</f>
        <v>0.2140915709381622</v>
      </c>
      <c r="AD17" s="51">
        <f t="shared" ref="AD17" si="48">X17/AF17</f>
        <v>4.4609713210809233E-2</v>
      </c>
      <c r="AE17" s="51">
        <f>Y17/AF17</f>
        <v>8.394582604149238E-2</v>
      </c>
      <c r="AF17" s="50">
        <f>SUM(T17:Y17)</f>
        <v>1061741.8985900001</v>
      </c>
      <c r="AG17" s="55">
        <f t="shared" ref="AG17" si="49">AF17-AF16</f>
        <v>-9872.2028199997731</v>
      </c>
      <c r="AH17" s="54">
        <f t="shared" ref="AH17" si="50">AG17/AF16</f>
        <v>-9.2124607235106407E-3</v>
      </c>
      <c r="AI17" s="54">
        <f t="shared" ref="AI17" si="51">AI16*(1+AH17)</f>
        <v>1.0617418985900005</v>
      </c>
      <c r="AJ17" s="60">
        <v>3821.5500489999999</v>
      </c>
      <c r="AK17" s="56">
        <f t="shared" si="36"/>
        <v>-78.560058000000026</v>
      </c>
      <c r="AL17" s="54">
        <f t="shared" si="37"/>
        <v>-2.0143035925831627E-2</v>
      </c>
      <c r="AM17" s="54">
        <f t="shared" si="38"/>
        <v>0.97985696407416834</v>
      </c>
    </row>
    <row r="18" spans="1:39">
      <c r="A18" s="49">
        <v>44741</v>
      </c>
      <c r="B18" s="47" t="s">
        <v>7</v>
      </c>
      <c r="C18" s="47" t="s">
        <v>101</v>
      </c>
      <c r="D18" s="47" t="s">
        <v>102</v>
      </c>
      <c r="E18" s="47" t="s">
        <v>103</v>
      </c>
      <c r="F18" s="47" t="s">
        <v>104</v>
      </c>
      <c r="G18" s="58" t="s">
        <v>105</v>
      </c>
      <c r="I18" s="47">
        <v>205.229996</v>
      </c>
      <c r="J18" s="47">
        <v>427.04998799999998</v>
      </c>
      <c r="K18" s="47">
        <v>75.519997000000004</v>
      </c>
      <c r="L18" s="47">
        <v>116.099998</v>
      </c>
      <c r="M18" s="47">
        <v>496.07000699999998</v>
      </c>
      <c r="O18" s="47">
        <v>300</v>
      </c>
      <c r="P18" s="47">
        <v>150</v>
      </c>
      <c r="Q18" s="47">
        <v>3000</v>
      </c>
      <c r="R18" s="47">
        <v>400</v>
      </c>
      <c r="S18" s="47">
        <v>180</v>
      </c>
      <c r="T18" s="50">
        <f>T17-(O18-O17)*I18-(P18-P17)*J18-(Q18-Q17)*K18-(R18-R17)*L18-(S18-S17)*M18</f>
        <v>571447.10527000006</v>
      </c>
      <c r="U18" s="47">
        <f t="shared" si="39"/>
        <v>61568.998800000001</v>
      </c>
      <c r="V18" s="47">
        <f t="shared" si="40"/>
        <v>64057.498199999995</v>
      </c>
      <c r="W18" s="47">
        <f t="shared" si="41"/>
        <v>226559.99100000001</v>
      </c>
      <c r="X18" s="47">
        <f t="shared" si="42"/>
        <v>46439.999199999998</v>
      </c>
      <c r="Y18" s="47">
        <f t="shared" si="43"/>
        <v>89292.601259999996</v>
      </c>
      <c r="Z18" s="51">
        <f t="shared" ref="Z18" si="52">T18/AF18</f>
        <v>0.53942358048820682</v>
      </c>
      <c r="AA18" s="51">
        <f t="shared" ref="AA18" si="53">U18/AF18</f>
        <v>5.8118712079358689E-2</v>
      </c>
      <c r="AB18" s="51">
        <f t="shared" ref="AB18" si="54">V18/AF18</f>
        <v>6.0467757588577795E-2</v>
      </c>
      <c r="AC18" s="51">
        <f t="shared" ref="AC18" si="55">W18/AF18</f>
        <v>0.21386371619268718</v>
      </c>
      <c r="AD18" s="51">
        <f t="shared" ref="AD18" si="56">X18/AF18</f>
        <v>4.3837531794823463E-2</v>
      </c>
      <c r="AE18" s="51">
        <f>Y18/AF18</f>
        <v>8.4288701856345932E-2</v>
      </c>
      <c r="AF18" s="50">
        <f>SUM(T18:Y18)</f>
        <v>1059366.1937300002</v>
      </c>
      <c r="AG18" s="55">
        <f t="shared" ref="AG18" si="57">AF18-AF17</f>
        <v>-2375.7048599999398</v>
      </c>
      <c r="AH18" s="54">
        <f t="shared" ref="AH18" si="58">AG18/AF17</f>
        <v>-2.2375540262232194E-3</v>
      </c>
      <c r="AI18" s="54">
        <f>AI17*(1+AH18)</f>
        <v>1.0593661937300005</v>
      </c>
      <c r="AJ18" s="60">
        <v>3818.830078</v>
      </c>
      <c r="AK18" s="56">
        <f t="shared" si="36"/>
        <v>-2.7199709999999868</v>
      </c>
      <c r="AL18" s="54">
        <f t="shared" si="37"/>
        <v>-7.1174548681149222E-4</v>
      </c>
      <c r="AM18" s="54">
        <f t="shared" si="38"/>
        <v>0.99928825451318848</v>
      </c>
    </row>
    <row r="19" spans="1:39">
      <c r="A19" s="49">
        <v>44742</v>
      </c>
      <c r="B19" s="47" t="s">
        <v>7</v>
      </c>
      <c r="C19" s="47" t="s">
        <v>101</v>
      </c>
      <c r="D19" s="47" t="s">
        <v>102</v>
      </c>
      <c r="E19" s="47" t="s">
        <v>103</v>
      </c>
      <c r="F19" s="47" t="s">
        <v>104</v>
      </c>
      <c r="G19" s="58" t="s">
        <v>105</v>
      </c>
      <c r="I19" s="47">
        <v>203.94000199999999</v>
      </c>
      <c r="J19" s="47">
        <v>426.14999399999999</v>
      </c>
      <c r="K19" s="47">
        <v>74.889999000000003</v>
      </c>
      <c r="L19" s="47">
        <v>110.949997</v>
      </c>
      <c r="M19" s="47">
        <v>495</v>
      </c>
      <c r="O19" s="47">
        <v>400</v>
      </c>
      <c r="P19" s="47">
        <v>200</v>
      </c>
      <c r="Q19" s="47">
        <v>4000</v>
      </c>
      <c r="R19" s="47">
        <v>500</v>
      </c>
      <c r="S19" s="47">
        <v>220</v>
      </c>
      <c r="T19" s="50">
        <f t="shared" ref="T19:T20" si="59">T18-(O19-O18)*I19-(P19-P18)*J19-(Q19-Q18)*K19-(R19-R18)*L19-(S19-S18)*M19</f>
        <v>423960.60667000001</v>
      </c>
      <c r="U19" s="47">
        <f t="shared" ref="U19:U20" si="60">I19*O19</f>
        <v>81576.000799999994</v>
      </c>
      <c r="V19" s="47">
        <f t="shared" ref="V19:V20" si="61">J19*P19</f>
        <v>85229.998800000001</v>
      </c>
      <c r="W19" s="47">
        <f t="shared" ref="W19:W20" si="62">K19*Q19</f>
        <v>299559.99599999998</v>
      </c>
      <c r="X19" s="47">
        <f t="shared" ref="X19:X20" si="63">L19*R19</f>
        <v>55474.998500000002</v>
      </c>
      <c r="Y19" s="47">
        <f t="shared" ref="Y19:Y20" si="64">M19*S19</f>
        <v>108900</v>
      </c>
      <c r="Z19" s="51">
        <f t="shared" ref="Z19:Z20" si="65">T19/AF19</f>
        <v>0.40197208988825039</v>
      </c>
      <c r="AA19" s="51">
        <f t="shared" ref="AA19:AA20" si="66">U19/AF19</f>
        <v>7.7345100017335966E-2</v>
      </c>
      <c r="AB19" s="51">
        <f t="shared" ref="AB19:AB20" si="67">V19/AF19</f>
        <v>8.0809585135527079E-2</v>
      </c>
      <c r="AC19" s="51">
        <f t="shared" ref="AC19:AC20" si="68">W19/AF19</f>
        <v>0.28402345818125424</v>
      </c>
      <c r="AD19" s="51">
        <f t="shared" ref="AD19:AD20" si="69">X19/AF19</f>
        <v>5.2597813883566394E-2</v>
      </c>
      <c r="AE19" s="51">
        <f t="shared" ref="AE19:AE20" si="70">Y19/AF19</f>
        <v>0.10325195289406597</v>
      </c>
      <c r="AF19" s="50">
        <f t="shared" ref="AF19:AF20" si="71">SUM(T19:Y19)</f>
        <v>1054701.6007699999</v>
      </c>
      <c r="AG19" s="55">
        <f t="shared" ref="AG19:AG20" si="72">AF19-AF18</f>
        <v>-4664.592960000271</v>
      </c>
      <c r="AH19" s="54">
        <f t="shared" ref="AH19:AH20" si="73">AG19/AF18</f>
        <v>-4.403192198890511E-3</v>
      </c>
      <c r="AI19" s="54">
        <f t="shared" ref="AI19:AI20" si="74">AI18*(1+AH19)</f>
        <v>1.0547016007700003</v>
      </c>
      <c r="AJ19" s="60">
        <v>3785.3798830000001</v>
      </c>
      <c r="AK19" s="56">
        <f t="shared" si="36"/>
        <v>-33.450194999999894</v>
      </c>
      <c r="AL19" s="54">
        <f t="shared" si="37"/>
        <v>-8.7592781864540177E-3</v>
      </c>
      <c r="AM19" s="54">
        <f t="shared" si="38"/>
        <v>0.99124072181354594</v>
      </c>
    </row>
    <row r="20" spans="1:39">
      <c r="A20" s="49">
        <v>44743</v>
      </c>
      <c r="B20" s="47" t="s">
        <v>7</v>
      </c>
      <c r="C20" s="47" t="s">
        <v>101</v>
      </c>
      <c r="D20" s="47" t="s">
        <v>102</v>
      </c>
      <c r="E20" s="47" t="s">
        <v>103</v>
      </c>
      <c r="F20" s="47" t="s">
        <v>104</v>
      </c>
      <c r="G20" s="58" t="s">
        <v>105</v>
      </c>
      <c r="I20" s="47">
        <v>210.63000500000001</v>
      </c>
      <c r="J20" s="47">
        <v>394.82998700000002</v>
      </c>
      <c r="K20" s="47">
        <v>75.400002000000001</v>
      </c>
      <c r="L20" s="47">
        <v>112.80999799999999</v>
      </c>
      <c r="M20" s="47">
        <v>502.33999599999999</v>
      </c>
      <c r="O20" s="47">
        <v>400</v>
      </c>
      <c r="P20" s="47">
        <v>200</v>
      </c>
      <c r="Q20" s="47">
        <v>4000</v>
      </c>
      <c r="R20" s="47">
        <v>500</v>
      </c>
      <c r="S20" s="47">
        <v>220</v>
      </c>
      <c r="T20" s="50">
        <f t="shared" si="59"/>
        <v>423960.60667000001</v>
      </c>
      <c r="U20" s="47">
        <f t="shared" si="60"/>
        <v>84252.002000000008</v>
      </c>
      <c r="V20" s="47">
        <f t="shared" si="61"/>
        <v>78965.997400000007</v>
      </c>
      <c r="W20" s="47">
        <f t="shared" si="62"/>
        <v>301600.00800000003</v>
      </c>
      <c r="X20" s="47">
        <f t="shared" si="63"/>
        <v>56404.998999999996</v>
      </c>
      <c r="Y20" s="47">
        <f t="shared" si="64"/>
        <v>110514.79912</v>
      </c>
      <c r="Z20" s="51">
        <f t="shared" si="65"/>
        <v>0.4015925398528471</v>
      </c>
      <c r="AA20" s="51">
        <f t="shared" si="66"/>
        <v>7.9806885211869294E-2</v>
      </c>
      <c r="AB20" s="51">
        <f t="shared" si="67"/>
        <v>7.4799769032699887E-2</v>
      </c>
      <c r="AC20" s="51">
        <f t="shared" si="68"/>
        <v>0.28568765901081922</v>
      </c>
      <c r="AD20" s="51">
        <f t="shared" si="69"/>
        <v>5.3429083864008374E-2</v>
      </c>
      <c r="AE20" s="51">
        <f t="shared" si="70"/>
        <v>0.1046840630277561</v>
      </c>
      <c r="AF20" s="50">
        <f t="shared" si="71"/>
        <v>1055698.4121900001</v>
      </c>
      <c r="AG20" s="55">
        <f t="shared" si="72"/>
        <v>996.81142000015825</v>
      </c>
      <c r="AH20" s="54">
        <f t="shared" si="73"/>
        <v>9.4511226613520059E-4</v>
      </c>
      <c r="AI20" s="54">
        <f t="shared" si="74"/>
        <v>1.0556984121900006</v>
      </c>
      <c r="AJ20" s="60">
        <v>3825.330078</v>
      </c>
      <c r="AK20" s="56">
        <f t="shared" si="36"/>
        <v>39.950194999999894</v>
      </c>
      <c r="AL20" s="54">
        <f t="shared" si="37"/>
        <v>1.0553813945970054E-2</v>
      </c>
      <c r="AM20" s="54">
        <f t="shared" si="38"/>
        <v>1.01055381394597</v>
      </c>
    </row>
    <row r="21" spans="1:39">
      <c r="A21" s="49"/>
      <c r="I21" s="47">
        <f t="shared" ref="I21:L21" si="75">I20/I14-1</f>
        <v>-1.3765987281163516E-2</v>
      </c>
      <c r="J21" s="47">
        <f t="shared" si="75"/>
        <v>-0.12219040196599829</v>
      </c>
      <c r="K21" s="47">
        <f t="shared" si="75"/>
        <v>-2.7849356055939967E-2</v>
      </c>
      <c r="L21" s="47">
        <f t="shared" si="75"/>
        <v>-7.774690974493137E-2</v>
      </c>
      <c r="M21" s="47">
        <f>M20/M14-1</f>
        <v>-1.0537938464267871E-2</v>
      </c>
    </row>
    <row r="22" spans="1:39">
      <c r="A22" s="49"/>
    </row>
    <row r="23" spans="1:39">
      <c r="A23" s="49"/>
    </row>
    <row r="24" spans="1:39">
      <c r="A24" s="49"/>
    </row>
    <row r="25" spans="1:39">
      <c r="A25" s="49"/>
    </row>
    <row r="26" spans="1:39">
      <c r="A26" s="49"/>
    </row>
    <row r="27" spans="1:39">
      <c r="A27" s="49"/>
    </row>
    <row r="28" spans="1:39">
      <c r="A28" s="49"/>
    </row>
    <row r="29" spans="1:39">
      <c r="A29" s="49"/>
    </row>
    <row r="30" spans="1:39">
      <c r="A30" s="49"/>
    </row>
    <row r="31" spans="1:39">
      <c r="A31" s="49"/>
    </row>
    <row r="32" spans="1:39">
      <c r="A32" s="49"/>
    </row>
    <row r="33" spans="1:1">
      <c r="A33" s="49"/>
    </row>
    <row r="34" spans="1:1">
      <c r="A34" s="49"/>
    </row>
    <row r="35" spans="1:1">
      <c r="A35" s="49"/>
    </row>
  </sheetData>
  <mergeCells count="5">
    <mergeCell ref="B4:G4"/>
    <mergeCell ref="H4:M4"/>
    <mergeCell ref="N4:S4"/>
    <mergeCell ref="T4:Y4"/>
    <mergeCell ref="Z4:AE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DA6A-8DDC-4057-AC8A-8FBB0F233000}">
  <dimension ref="A1:N52"/>
  <sheetViews>
    <sheetView zoomScale="40" zoomScaleNormal="4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47" sqref="C47"/>
    </sheetView>
  </sheetViews>
  <sheetFormatPr defaultColWidth="8.65234375" defaultRowHeight="14.6"/>
  <cols>
    <col min="1" max="1" width="21" customWidth="1"/>
    <col min="2" max="2" width="33" customWidth="1"/>
    <col min="3" max="3" width="25.65234375" customWidth="1"/>
    <col min="4" max="4" width="29.53515625" customWidth="1"/>
    <col min="5" max="5" width="26.53515625" customWidth="1"/>
    <col min="6" max="6" width="29.8828125" customWidth="1"/>
    <col min="7" max="7" width="27.34375" customWidth="1"/>
    <col min="8" max="8" width="27" customWidth="1"/>
    <col min="9" max="9" width="11.53515625" customWidth="1"/>
    <col min="10" max="10" width="10" customWidth="1"/>
    <col min="11" max="11" width="13.53515625" customWidth="1"/>
    <col min="12" max="12" width="12.8828125" customWidth="1"/>
    <col min="13" max="13" width="14.421875" customWidth="1"/>
    <col min="14" max="14" width="12.65234375" customWidth="1"/>
  </cols>
  <sheetData>
    <row r="1" spans="1:14" ht="22.75">
      <c r="A1" s="65" t="s">
        <v>106</v>
      </c>
      <c r="B1" s="65"/>
      <c r="C1" s="65"/>
      <c r="D1" s="65"/>
      <c r="E1" s="65"/>
      <c r="F1" s="65"/>
      <c r="G1" s="2"/>
      <c r="H1" s="2"/>
      <c r="I1" s="2"/>
      <c r="J1" s="2"/>
      <c r="K1" s="2"/>
      <c r="L1" s="2"/>
      <c r="M1" s="2"/>
      <c r="N1" s="2"/>
    </row>
    <row r="2" spans="1:14" ht="28.95" thickBot="1">
      <c r="A2" s="8" t="s">
        <v>10</v>
      </c>
      <c r="B2" s="9">
        <v>0.02</v>
      </c>
      <c r="C2" s="10" t="s">
        <v>107</v>
      </c>
      <c r="D2" s="9">
        <v>2.9000000000000001E-2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25" thickBot="1">
      <c r="A3" s="3" t="s">
        <v>0</v>
      </c>
      <c r="B3" s="39" t="s">
        <v>11</v>
      </c>
      <c r="C3" s="39" t="s">
        <v>12</v>
      </c>
      <c r="D3" s="40" t="s">
        <v>13</v>
      </c>
      <c r="E3" s="41" t="s">
        <v>14</v>
      </c>
      <c r="F3" s="41" t="s">
        <v>15</v>
      </c>
      <c r="G3" s="41" t="s">
        <v>16</v>
      </c>
      <c r="H3" s="41" t="s">
        <v>17</v>
      </c>
      <c r="I3" s="42" t="s">
        <v>18</v>
      </c>
      <c r="J3" s="2"/>
      <c r="K3" s="2"/>
      <c r="L3" s="2"/>
      <c r="M3" s="2"/>
      <c r="N3" s="2"/>
    </row>
    <row r="4" spans="1:14">
      <c r="A4" s="49">
        <v>44725</v>
      </c>
      <c r="B4" s="11">
        <f>'Basic Data'!AF5*(1-'Portfolio and Benchmark'!$B$2)</f>
        <v>980000</v>
      </c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</row>
    <row r="5" spans="1:14">
      <c r="A5" s="49">
        <v>44726</v>
      </c>
      <c r="B5" s="11">
        <f>'Basic Data'!AF6*(1-'Portfolio and Benchmark'!$B$2)</f>
        <v>983710.27856445289</v>
      </c>
      <c r="C5" s="5">
        <f t="shared" ref="C5:C19" si="0">(B5-B4)/B4</f>
        <v>3.7859985351560124E-3</v>
      </c>
      <c r="D5" s="5">
        <f t="shared" ref="D5:D19" si="1">1+C5</f>
        <v>1.003785998535156</v>
      </c>
      <c r="E5" s="5">
        <f>'Basic Data'!AL6</f>
        <v>-3.7736799208243333E-3</v>
      </c>
      <c r="F5" s="5">
        <f t="shared" ref="F5:F19" si="2">1+E5</f>
        <v>0.99622632007917566</v>
      </c>
      <c r="G5" s="5">
        <f>C5-$D$2/252</f>
        <v>3.6709191700766476E-3</v>
      </c>
      <c r="H5" s="5">
        <f>E5-$D$2/252</f>
        <v>-3.8887592859036982E-3</v>
      </c>
      <c r="I5" s="5">
        <f>C5-E5</f>
        <v>7.5596784559803457E-3</v>
      </c>
      <c r="J5" s="2"/>
      <c r="K5" s="2"/>
      <c r="L5" s="2"/>
      <c r="M5" s="2"/>
      <c r="N5" s="2"/>
    </row>
    <row r="6" spans="1:14">
      <c r="A6" s="49">
        <v>44727</v>
      </c>
      <c r="B6" s="11">
        <f>'Basic Data'!AF7*(1-'Portfolio and Benchmark'!$B$2)</f>
        <v>989331.56161498989</v>
      </c>
      <c r="C6" s="5">
        <f t="shared" si="0"/>
        <v>5.7143685219394457E-3</v>
      </c>
      <c r="D6" s="5">
        <f t="shared" si="1"/>
        <v>1.0057143685219394</v>
      </c>
      <c r="E6" s="5">
        <f>'Basic Data'!AL7</f>
        <v>1.4592504923557363E-2</v>
      </c>
      <c r="F6" s="5">
        <f t="shared" si="2"/>
        <v>1.0145925049235573</v>
      </c>
      <c r="G6" s="5">
        <f t="shared" ref="G6:G19" si="3">C6-$D$2/252</f>
        <v>5.5992891568600808E-3</v>
      </c>
      <c r="H6" s="5">
        <f t="shared" ref="H6:H19" si="4">E6-$D$2/252</f>
        <v>1.4477425558477999E-2</v>
      </c>
      <c r="I6" s="5">
        <f t="shared" ref="I6:I19" si="5">C6-E6</f>
        <v>-8.8781364016179178E-3</v>
      </c>
      <c r="J6" s="2"/>
      <c r="K6" s="2"/>
      <c r="L6" s="2"/>
      <c r="M6" s="2"/>
      <c r="N6" s="2"/>
    </row>
    <row r="7" spans="1:14">
      <c r="A7" s="49">
        <v>44728</v>
      </c>
      <c r="B7" s="11">
        <f>'Basic Data'!AF8*(1-'Portfolio and Benchmark'!$B$2)</f>
        <v>981158.36071777297</v>
      </c>
      <c r="C7" s="5">
        <f t="shared" si="0"/>
        <v>-8.2613364561774805E-3</v>
      </c>
      <c r="D7" s="5">
        <f t="shared" si="1"/>
        <v>0.99173866354382256</v>
      </c>
      <c r="E7" s="5">
        <f>'Basic Data'!AL8</f>
        <v>-3.2511951304652419E-2</v>
      </c>
      <c r="F7" s="5">
        <f t="shared" si="2"/>
        <v>0.96748804869534755</v>
      </c>
      <c r="G7" s="5">
        <f t="shared" si="3"/>
        <v>-8.3764158212568454E-3</v>
      </c>
      <c r="H7" s="5">
        <f t="shared" si="4"/>
        <v>-3.2627030669731785E-2</v>
      </c>
      <c r="I7" s="5">
        <f t="shared" si="5"/>
        <v>2.425061484847494E-2</v>
      </c>
      <c r="J7" s="2"/>
      <c r="K7" s="2"/>
      <c r="L7" s="2"/>
      <c r="M7" s="2"/>
      <c r="N7" s="2"/>
    </row>
    <row r="8" spans="1:14">
      <c r="A8" s="49">
        <v>44729</v>
      </c>
      <c r="B8" s="11">
        <f>'Basic Data'!AF9*(1-'Portfolio and Benchmark'!$B$2)</f>
        <v>986991.31964111386</v>
      </c>
      <c r="C8" s="5">
        <f t="shared" si="0"/>
        <v>5.9449719401807382E-3</v>
      </c>
      <c r="D8" s="5">
        <f t="shared" si="1"/>
        <v>1.0059449719401807</v>
      </c>
      <c r="E8" s="5">
        <f>'Basic Data'!AL9</f>
        <v>2.2008655999647317E-3</v>
      </c>
      <c r="F8" s="5">
        <f t="shared" si="2"/>
        <v>1.0022008655999648</v>
      </c>
      <c r="G8" s="5">
        <f t="shared" si="3"/>
        <v>5.8298925751013734E-3</v>
      </c>
      <c r="H8" s="5">
        <f t="shared" si="4"/>
        <v>2.0857862348853669E-3</v>
      </c>
      <c r="I8" s="5">
        <f t="shared" si="5"/>
        <v>3.7441063402160065E-3</v>
      </c>
      <c r="J8" s="2"/>
      <c r="K8" s="2"/>
      <c r="L8" s="2"/>
      <c r="M8" s="2"/>
      <c r="N8" s="2"/>
    </row>
    <row r="9" spans="1:14">
      <c r="A9" s="49">
        <v>44733</v>
      </c>
      <c r="B9" s="11">
        <f>'Basic Data'!AF10*(1-'Portfolio and Benchmark'!$B$2)</f>
        <v>996752.11425781273</v>
      </c>
      <c r="C9" s="5">
        <f t="shared" si="0"/>
        <v>9.8894432225078259E-3</v>
      </c>
      <c r="D9" s="5">
        <f t="shared" si="1"/>
        <v>1.0098894432225078</v>
      </c>
      <c r="E9" s="5">
        <f>'Basic Data'!AL10</f>
        <v>2.4477242232587744E-2</v>
      </c>
      <c r="F9" s="5">
        <f t="shared" si="2"/>
        <v>1.0244772422325878</v>
      </c>
      <c r="G9" s="5">
        <f t="shared" si="3"/>
        <v>9.774363857428461E-3</v>
      </c>
      <c r="H9" s="5">
        <f t="shared" si="4"/>
        <v>2.4362162867508377E-2</v>
      </c>
      <c r="I9" s="5">
        <f t="shared" si="5"/>
        <v>-1.4587799010079918E-2</v>
      </c>
      <c r="J9" s="2"/>
      <c r="K9" s="2"/>
      <c r="L9" s="2"/>
      <c r="M9" s="2"/>
      <c r="N9" s="2"/>
    </row>
    <row r="10" spans="1:14">
      <c r="A10" s="49">
        <v>44734</v>
      </c>
      <c r="B10" s="11">
        <f>'Basic Data'!AF11*(1-'Portfolio and Benchmark'!$B$2)</f>
        <v>1000962.1964111328</v>
      </c>
      <c r="C10" s="5">
        <f t="shared" si="0"/>
        <v>4.2238005749854176E-3</v>
      </c>
      <c r="D10" s="5">
        <f t="shared" si="1"/>
        <v>1.0042238005749855</v>
      </c>
      <c r="E10" s="5">
        <f>'Basic Data'!AL11</f>
        <v>-1.3015721857629866E-3</v>
      </c>
      <c r="F10" s="5">
        <f t="shared" si="2"/>
        <v>0.99869842781423701</v>
      </c>
      <c r="G10" s="5">
        <f t="shared" si="3"/>
        <v>4.1087212099060527E-3</v>
      </c>
      <c r="H10" s="5">
        <f t="shared" si="4"/>
        <v>-1.4166515508423517E-3</v>
      </c>
      <c r="I10" s="5">
        <f t="shared" si="5"/>
        <v>5.5253727607484041E-3</v>
      </c>
      <c r="J10" s="2"/>
      <c r="K10" s="2"/>
      <c r="L10" s="2"/>
      <c r="M10" s="2"/>
      <c r="N10" s="2"/>
    </row>
    <row r="11" spans="1:14">
      <c r="A11" s="49">
        <v>44735</v>
      </c>
      <c r="B11" s="11">
        <f>'Basic Data'!AF12*(1-'Portfolio and Benchmark'!$B$2)</f>
        <v>1013580.6848449705</v>
      </c>
      <c r="C11" s="5">
        <f t="shared" si="0"/>
        <v>1.2606358640796031E-2</v>
      </c>
      <c r="D11" s="5">
        <f t="shared" si="1"/>
        <v>1.0126063586407961</v>
      </c>
      <c r="E11" s="5">
        <f>'Basic Data'!AL12</f>
        <v>9.5322171712330078E-3</v>
      </c>
      <c r="F11" s="5">
        <f t="shared" si="2"/>
        <v>1.0095322171712331</v>
      </c>
      <c r="G11" s="5">
        <f t="shared" si="3"/>
        <v>1.2491279275716666E-2</v>
      </c>
      <c r="H11" s="5">
        <f t="shared" si="4"/>
        <v>9.4171378061536429E-3</v>
      </c>
      <c r="I11" s="5">
        <f t="shared" si="5"/>
        <v>3.0741414695630229E-3</v>
      </c>
      <c r="J11" s="2"/>
      <c r="K11" s="2"/>
      <c r="L11" s="2"/>
      <c r="M11" s="2"/>
      <c r="N11" s="2"/>
    </row>
    <row r="12" spans="1:14">
      <c r="A12" s="49">
        <v>44736</v>
      </c>
      <c r="B12" s="11">
        <f>'Basic Data'!AF13*(1-'Portfolio and Benchmark'!$B$2)</f>
        <v>1045344.4383850093</v>
      </c>
      <c r="C12" s="5">
        <f t="shared" si="0"/>
        <v>3.1338159867260268E-2</v>
      </c>
      <c r="D12" s="5">
        <f t="shared" si="1"/>
        <v>1.0313381598672602</v>
      </c>
      <c r="E12" s="5">
        <f>'Basic Data'!AL13</f>
        <v>3.056329365135714E-2</v>
      </c>
      <c r="F12" s="5">
        <f t="shared" si="2"/>
        <v>1.0305632936513571</v>
      </c>
      <c r="G12" s="5">
        <f t="shared" si="3"/>
        <v>3.1223080502180901E-2</v>
      </c>
      <c r="H12" s="5">
        <f t="shared" si="4"/>
        <v>3.0448214286277774E-2</v>
      </c>
      <c r="I12" s="5">
        <f t="shared" si="5"/>
        <v>7.7486621590312776E-4</v>
      </c>
      <c r="J12" s="2"/>
      <c r="K12" s="2"/>
      <c r="L12" s="2"/>
      <c r="M12" s="2"/>
      <c r="N12" s="2"/>
    </row>
    <row r="13" spans="1:14">
      <c r="A13" s="49">
        <v>44736</v>
      </c>
      <c r="B13" s="11">
        <f>'Basic Data'!AF14*(1-'Portfolio and Benchmark'!$B$2)</f>
        <v>1045344.44</v>
      </c>
      <c r="C13" s="5">
        <f t="shared" si="0"/>
        <v>1.5449363720268036E-9</v>
      </c>
      <c r="D13" s="5">
        <f t="shared" si="1"/>
        <v>1.0000000015449364</v>
      </c>
      <c r="E13" s="5">
        <f>'Basic Data'!AL14</f>
        <v>-2.9730715818870324E-3</v>
      </c>
      <c r="F13" s="5">
        <f t="shared" si="2"/>
        <v>0.99702692841811302</v>
      </c>
      <c r="G13" s="5">
        <f t="shared" si="3"/>
        <v>-1.1507782014299305E-4</v>
      </c>
      <c r="H13" s="5">
        <f t="shared" si="4"/>
        <v>-3.0881509469663972E-3</v>
      </c>
      <c r="I13" s="5">
        <f t="shared" si="5"/>
        <v>2.9730731268234043E-3</v>
      </c>
      <c r="J13" s="2"/>
      <c r="K13" s="2"/>
      <c r="L13" s="2"/>
      <c r="M13" s="2"/>
      <c r="N13" s="2"/>
    </row>
    <row r="14" spans="1:14">
      <c r="A14" s="49">
        <v>44739</v>
      </c>
      <c r="B14" s="11">
        <f>'Basic Data'!AF15*(1-'Portfolio and Benchmark'!$B$2)</f>
        <v>1040507.0606182001</v>
      </c>
      <c r="C14" s="5">
        <f t="shared" si="0"/>
        <v>-4.627545904199613E-3</v>
      </c>
      <c r="D14" s="5">
        <f t="shared" si="1"/>
        <v>0.99537245409580044</v>
      </c>
      <c r="E14" s="5">
        <f>'Basic Data'!AL15</f>
        <v>-2.0143035925831627E-2</v>
      </c>
      <c r="F14" s="5">
        <f t="shared" si="2"/>
        <v>0.97985696407416834</v>
      </c>
      <c r="G14" s="5">
        <f t="shared" si="3"/>
        <v>-4.7426252692789779E-3</v>
      </c>
      <c r="H14" s="5">
        <f t="shared" si="4"/>
        <v>-2.0258115290910993E-2</v>
      </c>
      <c r="I14" s="5">
        <f t="shared" si="5"/>
        <v>1.5515490021632014E-2</v>
      </c>
      <c r="J14" s="2"/>
      <c r="K14" s="2"/>
      <c r="L14" s="2"/>
      <c r="M14" s="2"/>
      <c r="N14" s="2"/>
    </row>
    <row r="15" spans="1:14">
      <c r="A15" s="49">
        <v>44739</v>
      </c>
      <c r="B15" s="11">
        <f>'Basic Data'!AF16*(1-'Portfolio and Benchmark'!$B$2)</f>
        <v>1050181.8193817998</v>
      </c>
      <c r="C15" s="5">
        <f t="shared" si="0"/>
        <v>9.2981192822003313E-3</v>
      </c>
      <c r="D15" s="5">
        <f t="shared" si="1"/>
        <v>1.0092981192822004</v>
      </c>
      <c r="E15" s="5">
        <f>'Basic Data'!AL16</f>
        <v>2.0557118706467589E-2</v>
      </c>
      <c r="F15" s="5">
        <f t="shared" si="2"/>
        <v>1.0205571187064675</v>
      </c>
      <c r="G15" s="5">
        <f t="shared" si="3"/>
        <v>9.1830399171209665E-3</v>
      </c>
      <c r="H15" s="5">
        <f t="shared" si="4"/>
        <v>2.0442039341388222E-2</v>
      </c>
      <c r="I15" s="5">
        <f t="shared" si="5"/>
        <v>-1.1258999424267257E-2</v>
      </c>
      <c r="J15" s="2"/>
      <c r="K15" s="2"/>
      <c r="L15" s="2"/>
      <c r="M15" s="2"/>
      <c r="N15" s="2"/>
    </row>
    <row r="16" spans="1:14">
      <c r="A16" s="49">
        <v>44740</v>
      </c>
      <c r="B16" s="11">
        <f>'Basic Data'!AF17*(1-'Portfolio and Benchmark'!$B$2)</f>
        <v>1040507.0606182001</v>
      </c>
      <c r="C16" s="5">
        <f t="shared" si="0"/>
        <v>-9.2124607235105453E-3</v>
      </c>
      <c r="D16" s="5">
        <f t="shared" si="1"/>
        <v>0.99078753927648944</v>
      </c>
      <c r="E16" s="5">
        <f>'Basic Data'!AL17</f>
        <v>-2.0143035925831627E-2</v>
      </c>
      <c r="F16" s="5">
        <f t="shared" si="2"/>
        <v>0.97985696407416834</v>
      </c>
      <c r="G16" s="5">
        <f t="shared" si="3"/>
        <v>-9.3275400885899102E-3</v>
      </c>
      <c r="H16" s="5">
        <f t="shared" si="4"/>
        <v>-2.0258115290910993E-2</v>
      </c>
      <c r="I16" s="5">
        <f t="shared" si="5"/>
        <v>1.0930575202321081E-2</v>
      </c>
      <c r="J16" s="2"/>
      <c r="K16" s="2"/>
      <c r="L16" s="2"/>
      <c r="M16" s="2"/>
      <c r="N16" s="2"/>
    </row>
    <row r="17" spans="1:14">
      <c r="A17" s="49">
        <v>44741</v>
      </c>
      <c r="B17" s="11">
        <f>'Basic Data'!AF18*(1-'Portfolio and Benchmark'!$B$2)</f>
        <v>1038178.8698554002</v>
      </c>
      <c r="C17" s="5">
        <f t="shared" si="0"/>
        <v>-2.2375540262232103E-3</v>
      </c>
      <c r="D17" s="5">
        <f t="shared" si="1"/>
        <v>0.99776244597377683</v>
      </c>
      <c r="E17" s="5">
        <f>'Basic Data'!AL18</f>
        <v>-7.1174548681149222E-4</v>
      </c>
      <c r="F17" s="5">
        <f t="shared" si="2"/>
        <v>0.99928825451318848</v>
      </c>
      <c r="G17" s="5">
        <f t="shared" si="3"/>
        <v>-2.3526333913025752E-3</v>
      </c>
      <c r="H17" s="5">
        <f t="shared" si="4"/>
        <v>-8.2682485189085732E-4</v>
      </c>
      <c r="I17" s="5">
        <f t="shared" si="5"/>
        <v>-1.525808539411718E-3</v>
      </c>
      <c r="J17" s="2"/>
      <c r="K17" s="2"/>
      <c r="L17" s="2"/>
      <c r="M17" s="2"/>
      <c r="N17" s="2"/>
    </row>
    <row r="18" spans="1:14">
      <c r="A18" s="49">
        <v>44742</v>
      </c>
      <c r="B18" s="11">
        <f>'Basic Data'!AF19*(1-'Portfolio and Benchmark'!$B$2)</f>
        <v>1033607.5687545999</v>
      </c>
      <c r="C18" s="5">
        <f t="shared" si="0"/>
        <v>-4.4031921988905249E-3</v>
      </c>
      <c r="D18" s="5">
        <f t="shared" si="1"/>
        <v>0.99559680780110948</v>
      </c>
      <c r="E18" s="5">
        <f>'Basic Data'!AL19</f>
        <v>-8.7592781864540177E-3</v>
      </c>
      <c r="F18" s="5">
        <f t="shared" si="2"/>
        <v>0.99124072181354594</v>
      </c>
      <c r="G18" s="5">
        <f t="shared" si="3"/>
        <v>-4.5182715639698898E-3</v>
      </c>
      <c r="H18" s="5">
        <f t="shared" si="4"/>
        <v>-8.8743575515333826E-3</v>
      </c>
      <c r="I18" s="5">
        <f t="shared" si="5"/>
        <v>4.3560859875634928E-3</v>
      </c>
      <c r="J18" s="2"/>
      <c r="K18" s="2"/>
      <c r="L18" s="2"/>
      <c r="M18" s="2"/>
      <c r="N18" s="2"/>
    </row>
    <row r="19" spans="1:14">
      <c r="A19" s="49">
        <v>44743</v>
      </c>
      <c r="B19" s="11">
        <f>'Basic Data'!AF20*(1-'Portfolio and Benchmark'!$B$2)</f>
        <v>1034584.4439462001</v>
      </c>
      <c r="C19" s="5">
        <f t="shared" si="0"/>
        <v>9.4511226613522314E-4</v>
      </c>
      <c r="D19" s="5">
        <f t="shared" si="1"/>
        <v>1.0009451122661353</v>
      </c>
      <c r="E19" s="5">
        <f>'Basic Data'!AL20</f>
        <v>1.0553813945970054E-2</v>
      </c>
      <c r="F19" s="5">
        <f t="shared" si="2"/>
        <v>1.01055381394597</v>
      </c>
      <c r="G19" s="5">
        <f t="shared" si="3"/>
        <v>8.3003290105585804E-4</v>
      </c>
      <c r="H19" s="5">
        <f t="shared" si="4"/>
        <v>1.043873458089069E-2</v>
      </c>
      <c r="I19" s="5">
        <f t="shared" si="5"/>
        <v>-9.6087016798348315E-3</v>
      </c>
      <c r="J19" s="2"/>
      <c r="K19" s="2"/>
      <c r="L19" s="2"/>
      <c r="M19" s="2"/>
      <c r="N19" s="2"/>
    </row>
    <row r="20" spans="1:14">
      <c r="A20" s="4"/>
      <c r="B20" s="11"/>
      <c r="C20" s="5"/>
      <c r="D20" s="5"/>
      <c r="E20" s="5"/>
      <c r="F20" s="5"/>
      <c r="G20" s="5"/>
      <c r="H20" s="5"/>
      <c r="I20" s="5"/>
      <c r="J20" s="2"/>
      <c r="K20" s="2"/>
      <c r="L20" s="2"/>
      <c r="M20" s="2"/>
      <c r="N20" s="2"/>
    </row>
    <row r="21" spans="1:14" ht="15" customHeight="1">
      <c r="A21" s="4"/>
      <c r="B21" s="11"/>
      <c r="C21" s="5"/>
      <c r="D21" s="5"/>
      <c r="E21" s="5"/>
      <c r="F21" s="5"/>
      <c r="G21" s="5"/>
      <c r="H21" s="5"/>
      <c r="I21" s="5"/>
      <c r="J21" s="2"/>
      <c r="K21" s="2"/>
      <c r="L21" s="2"/>
      <c r="M21" s="2"/>
      <c r="N21" s="2"/>
    </row>
    <row r="22" spans="1:14" ht="15" customHeight="1">
      <c r="A22" s="4"/>
      <c r="B22" s="11"/>
      <c r="C22" s="5"/>
      <c r="D22" s="5"/>
      <c r="E22" s="5"/>
      <c r="F22" s="5"/>
      <c r="G22" s="5"/>
      <c r="H22" s="5"/>
      <c r="I22" s="5"/>
      <c r="J22" s="2"/>
      <c r="K22" s="2"/>
      <c r="L22" s="2"/>
      <c r="M22" s="2"/>
      <c r="N22" s="2"/>
    </row>
    <row r="23" spans="1:14" ht="15" customHeight="1">
      <c r="A23" s="4"/>
      <c r="B23" s="11"/>
      <c r="C23" s="5"/>
      <c r="D23" s="5"/>
      <c r="E23" s="5"/>
      <c r="F23" s="5"/>
      <c r="G23" s="5"/>
      <c r="H23" s="5"/>
      <c r="I23" s="5"/>
      <c r="J23" s="2"/>
      <c r="K23" s="2"/>
      <c r="L23" s="2"/>
      <c r="M23" s="2"/>
      <c r="N23" s="2"/>
    </row>
    <row r="24" spans="1:14">
      <c r="A24" s="2"/>
      <c r="E24" s="2"/>
    </row>
    <row r="25" spans="1:14">
      <c r="A25" s="2"/>
      <c r="E25" s="2"/>
    </row>
    <row r="26" spans="1:14">
      <c r="A26" s="2"/>
      <c r="F26" t="s">
        <v>87</v>
      </c>
    </row>
    <row r="27" spans="1:14">
      <c r="A27" s="2"/>
      <c r="E27" s="2"/>
    </row>
    <row r="28" spans="1:14">
      <c r="A28" s="2"/>
      <c r="E28" s="2"/>
      <c r="F28" t="s">
        <v>90</v>
      </c>
    </row>
    <row r="29" spans="1:14">
      <c r="A29" s="2"/>
      <c r="E29" s="2"/>
    </row>
    <row r="30" spans="1:14">
      <c r="A30" s="2"/>
      <c r="B30" s="12"/>
      <c r="C30" s="13" t="s">
        <v>31</v>
      </c>
      <c r="D30" s="14" t="s">
        <v>32</v>
      </c>
      <c r="E30" s="2"/>
    </row>
    <row r="31" spans="1:14">
      <c r="A31" s="2"/>
      <c r="B31" s="15" t="s">
        <v>19</v>
      </c>
      <c r="C31" s="16">
        <f>AVERAGE(C5:C19)</f>
        <v>3.666949672473086E-3</v>
      </c>
      <c r="D31" s="16">
        <f>AVERAGE(E5:E19)</f>
        <v>1.4773123808721395E-3</v>
      </c>
      <c r="E31" s="2"/>
      <c r="F31" t="s">
        <v>94</v>
      </c>
    </row>
    <row r="32" spans="1:14">
      <c r="A32" s="2"/>
      <c r="B32" s="17" t="s">
        <v>20</v>
      </c>
      <c r="C32" s="18">
        <f>PRODUCT(D5:D19)^(1/COUNT(D5:D23))-1</f>
        <v>3.6200399059134192E-3</v>
      </c>
      <c r="D32" s="18">
        <f>PRODUCT(F5:F19)^(1/COUNT(D5:D19))-1</f>
        <v>1.3333962641908226E-3</v>
      </c>
      <c r="E32" s="2"/>
      <c r="F32" t="s">
        <v>95</v>
      </c>
    </row>
    <row r="33" spans="1:11">
      <c r="A33" s="2"/>
      <c r="B33" s="17" t="s">
        <v>21</v>
      </c>
      <c r="C33" s="19">
        <f>PRODUCT(D5:D19)-1</f>
        <v>5.5698412190000823E-2</v>
      </c>
      <c r="D33" s="19">
        <f>PRODUCT(F5:F19)-1</f>
        <v>2.0188711249397695E-2</v>
      </c>
      <c r="E33" s="2"/>
    </row>
    <row r="34" spans="1:11">
      <c r="A34" s="2"/>
      <c r="B34" s="17" t="s">
        <v>22</v>
      </c>
      <c r="C34" s="18">
        <f>(1+C33)^(252/COUNT(D5:D19))-1</f>
        <v>1.4858206329384434</v>
      </c>
      <c r="D34" s="18">
        <f>(1+D33)^(252/COUNT(D5:D19))-1</f>
        <v>0.39904804344722322</v>
      </c>
      <c r="E34" s="2"/>
    </row>
    <row r="35" spans="1:11">
      <c r="A35" s="2"/>
      <c r="B35" s="17" t="s">
        <v>23</v>
      </c>
      <c r="C35" s="20">
        <f>_xlfn.STDEV.S(C5:C19)</f>
        <v>1.0083760312759021E-2</v>
      </c>
      <c r="D35" s="20">
        <f>_xlfn.STDEV.S(E5:E19)</f>
        <v>1.7553298491601064E-2</v>
      </c>
      <c r="E35" s="2"/>
      <c r="F35" t="s">
        <v>79</v>
      </c>
    </row>
    <row r="36" spans="1:11" ht="15.25" thickBot="1">
      <c r="A36" s="2"/>
      <c r="B36" s="17" t="s">
        <v>24</v>
      </c>
      <c r="C36" s="21">
        <f>C35*252^0.5</f>
        <v>0.1600747324076596</v>
      </c>
      <c r="D36" s="21">
        <f>D35*252^0.5</f>
        <v>0.27864997498596972</v>
      </c>
      <c r="E36" s="2"/>
    </row>
    <row r="37" spans="1:11">
      <c r="A37" s="2"/>
      <c r="B37" s="17" t="s">
        <v>25</v>
      </c>
      <c r="C37" s="20">
        <f>(C31-D2/252)/C35</f>
        <v>0.35223668524722129</v>
      </c>
      <c r="D37" s="20">
        <f>(D31-D2/252)/D35</f>
        <v>7.7605529037438656E-2</v>
      </c>
      <c r="E37" s="2"/>
      <c r="F37" s="46" t="s">
        <v>36</v>
      </c>
      <c r="G37" s="46"/>
    </row>
    <row r="38" spans="1:11">
      <c r="A38" s="2"/>
      <c r="B38" s="17" t="s">
        <v>26</v>
      </c>
      <c r="C38" s="20">
        <f>G51</f>
        <v>2.8874024046947385E-3</v>
      </c>
      <c r="D38" s="22"/>
      <c r="E38" s="2"/>
      <c r="F38" t="s">
        <v>33</v>
      </c>
      <c r="G38">
        <v>0.84909997700193041</v>
      </c>
    </row>
    <row r="39" spans="1:11">
      <c r="A39" s="2"/>
      <c r="B39" s="17" t="s">
        <v>27</v>
      </c>
      <c r="C39" s="20">
        <f>G52</f>
        <v>0.48777844538754239</v>
      </c>
      <c r="D39" s="22"/>
      <c r="E39" s="2"/>
      <c r="F39" t="s">
        <v>34</v>
      </c>
      <c r="G39">
        <v>0.72097077094467876</v>
      </c>
    </row>
    <row r="40" spans="1:11">
      <c r="A40" s="2"/>
      <c r="B40" s="17" t="s">
        <v>28</v>
      </c>
      <c r="C40" s="20">
        <f>_xlfn.STDEV.S(I5:I19)</f>
        <v>1.0450530656926898E-2</v>
      </c>
      <c r="D40" s="22"/>
      <c r="E40" s="2"/>
      <c r="F40" t="s">
        <v>35</v>
      </c>
      <c r="G40">
        <v>0.69950698409426937</v>
      </c>
    </row>
    <row r="41" spans="1:11" ht="23.25" customHeight="1">
      <c r="A41" s="2"/>
      <c r="B41" s="17" t="s">
        <v>29</v>
      </c>
      <c r="C41" s="20">
        <f>C38/C40</f>
        <v>0.27629241992423503</v>
      </c>
      <c r="D41" s="22"/>
      <c r="E41" s="2"/>
      <c r="F41" t="s">
        <v>37</v>
      </c>
      <c r="G41">
        <v>5.527639420797135E-3</v>
      </c>
    </row>
    <row r="42" spans="1:11" ht="21" customHeight="1" thickBot="1">
      <c r="B42" s="23" t="s">
        <v>30</v>
      </c>
      <c r="C42" s="24">
        <f>CORREL(C5:C19,E5:E19)</f>
        <v>0.84909997700192996</v>
      </c>
      <c r="D42" s="25"/>
      <c r="F42" s="43" t="s">
        <v>38</v>
      </c>
      <c r="G42" s="43">
        <v>15</v>
      </c>
    </row>
    <row r="43" spans="1:11">
      <c r="B43" s="2"/>
      <c r="C43" s="2"/>
      <c r="D43" s="2"/>
    </row>
    <row r="44" spans="1:11" ht="15.25" thickBot="1">
      <c r="F44" t="s">
        <v>39</v>
      </c>
    </row>
    <row r="45" spans="1:11">
      <c r="F45" s="45"/>
      <c r="G45" s="45" t="s">
        <v>44</v>
      </c>
      <c r="H45" s="45" t="s">
        <v>45</v>
      </c>
      <c r="I45" s="45" t="s">
        <v>46</v>
      </c>
      <c r="J45" s="45" t="s">
        <v>47</v>
      </c>
      <c r="K45" s="45" t="s">
        <v>48</v>
      </c>
    </row>
    <row r="46" spans="1:11">
      <c r="F46" t="s">
        <v>40</v>
      </c>
      <c r="G46">
        <v>1</v>
      </c>
      <c r="H46">
        <v>1.0263387402698787E-3</v>
      </c>
      <c r="I46">
        <v>1.0263387402698787E-3</v>
      </c>
      <c r="J46">
        <v>33.590101130310522</v>
      </c>
      <c r="K46">
        <v>6.2194285514695472E-5</v>
      </c>
    </row>
    <row r="47" spans="1:11">
      <c r="F47" t="s">
        <v>41</v>
      </c>
      <c r="G47">
        <v>13</v>
      </c>
      <c r="H47">
        <v>3.9721236836255631E-4</v>
      </c>
      <c r="I47">
        <v>3.0554797566350487E-5</v>
      </c>
    </row>
    <row r="48" spans="1:11" ht="15.25" thickBot="1">
      <c r="F48" s="43" t="s">
        <v>42</v>
      </c>
      <c r="G48" s="43">
        <v>14</v>
      </c>
      <c r="H48" s="43">
        <v>1.423551108632435E-3</v>
      </c>
      <c r="I48" s="43"/>
      <c r="J48" s="43"/>
      <c r="K48" s="43"/>
    </row>
    <row r="49" spans="6:14" ht="15.25" thickBot="1"/>
    <row r="50" spans="6:14">
      <c r="F50" s="45"/>
      <c r="G50" s="45" t="s">
        <v>49</v>
      </c>
      <c r="H50" s="45" t="s">
        <v>37</v>
      </c>
      <c r="I50" s="45" t="s">
        <v>50</v>
      </c>
      <c r="J50" s="45" t="s">
        <v>51</v>
      </c>
      <c r="K50" s="45" t="s">
        <v>52</v>
      </c>
      <c r="L50" s="45" t="s">
        <v>53</v>
      </c>
      <c r="M50" s="45" t="s">
        <v>54</v>
      </c>
      <c r="N50" s="45" t="s">
        <v>55</v>
      </c>
    </row>
    <row r="51" spans="6:14">
      <c r="F51" t="s">
        <v>43</v>
      </c>
      <c r="G51">
        <v>2.8874024046947385E-3</v>
      </c>
      <c r="H51">
        <v>1.4318277764533819E-3</v>
      </c>
      <c r="I51">
        <v>2.0165849916997667</v>
      </c>
      <c r="J51">
        <v>6.4882207816902515E-2</v>
      </c>
      <c r="K51">
        <v>-2.0587344500796198E-4</v>
      </c>
      <c r="L51">
        <v>5.9806782543974386E-3</v>
      </c>
      <c r="M51">
        <v>-2.0587344500796198E-4</v>
      </c>
      <c r="N51">
        <v>5.9806782543974386E-3</v>
      </c>
    </row>
    <row r="52" spans="6:14" ht="15.25" thickBot="1">
      <c r="F52" s="43" t="s">
        <v>76</v>
      </c>
      <c r="G52" s="43">
        <v>0.48777844538754239</v>
      </c>
      <c r="H52" s="43">
        <v>8.4162174827323133E-2</v>
      </c>
      <c r="I52" s="43">
        <v>5.7956967769467118</v>
      </c>
      <c r="J52" s="43">
        <v>6.2194285514695702E-5</v>
      </c>
      <c r="K52" s="43">
        <v>0.30595712083085164</v>
      </c>
      <c r="L52" s="43">
        <v>0.66959976994423309</v>
      </c>
      <c r="M52" s="43">
        <v>0.30595712083085164</v>
      </c>
      <c r="N52" s="43">
        <v>0.66959976994423309</v>
      </c>
    </row>
  </sheetData>
  <mergeCells count="1">
    <mergeCell ref="A1:F1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1E4F-ED41-4A61-BE62-D1BDB676E01D}">
  <dimension ref="A1:O168"/>
  <sheetViews>
    <sheetView zoomScale="55" zoomScaleNormal="55" workbookViewId="0">
      <selection activeCell="F17" sqref="F17"/>
    </sheetView>
  </sheetViews>
  <sheetFormatPr defaultRowHeight="14.6"/>
  <cols>
    <col min="1" max="1" width="14.34375" customWidth="1"/>
    <col min="2" max="2" width="24.8828125" customWidth="1"/>
    <col min="3" max="3" width="26.421875" customWidth="1"/>
    <col min="4" max="4" width="22.421875" customWidth="1"/>
    <col min="5" max="5" width="17.53515625" customWidth="1"/>
    <col min="6" max="6" width="18.421875" customWidth="1"/>
  </cols>
  <sheetData>
    <row r="1" spans="1:15" ht="22.75">
      <c r="A1" s="66" t="s">
        <v>108</v>
      </c>
      <c r="B1" s="66"/>
      <c r="C1" s="66"/>
      <c r="D1" s="66"/>
      <c r="E1" s="66"/>
      <c r="F1" s="66"/>
      <c r="G1" s="66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.45" thickBot="1">
      <c r="A3" s="67" t="s">
        <v>63</v>
      </c>
      <c r="B3" s="67"/>
      <c r="C3" s="67"/>
      <c r="D3" s="67"/>
      <c r="E3" s="67"/>
      <c r="F3" s="67"/>
      <c r="G3" s="1"/>
      <c r="H3" s="1"/>
      <c r="I3" s="1"/>
      <c r="J3" s="1"/>
      <c r="K3" s="1"/>
      <c r="L3" s="1"/>
      <c r="M3" s="1"/>
      <c r="N3" s="1"/>
      <c r="O3" s="1"/>
    </row>
    <row r="4" spans="1:15" ht="15.25" thickBot="1">
      <c r="A4" s="26"/>
      <c r="B4" s="27" t="s">
        <v>64</v>
      </c>
      <c r="C4" s="27" t="s">
        <v>65</v>
      </c>
      <c r="D4" s="27" t="s">
        <v>66</v>
      </c>
      <c r="E4" s="27" t="s">
        <v>67</v>
      </c>
      <c r="F4" s="27" t="s">
        <v>68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28" t="s">
        <v>69</v>
      </c>
      <c r="B5" s="29">
        <f>SUM('Basic Data'!AA20:AE20)</f>
        <v>0.59840746014715285</v>
      </c>
      <c r="C5" s="30">
        <v>1</v>
      </c>
      <c r="D5" s="29">
        <f>B5-C5</f>
        <v>-0.40159253985284715</v>
      </c>
      <c r="E5" s="29">
        <f>PRODUCT('Portfolio and Benchmark'!F5:F19)-1</f>
        <v>2.0188711249397695E-2</v>
      </c>
      <c r="F5" s="29">
        <f>D5*E5</f>
        <v>-8.1076358270013669E-3</v>
      </c>
      <c r="G5" s="1"/>
      <c r="H5" s="1"/>
      <c r="I5" s="1"/>
      <c r="J5" s="1"/>
      <c r="K5" s="1"/>
      <c r="L5" s="1"/>
      <c r="M5" s="1"/>
      <c r="N5" s="1"/>
      <c r="O5" s="1"/>
    </row>
    <row r="6" spans="1:15" ht="15.25" thickBot="1">
      <c r="A6" s="31" t="s">
        <v>8</v>
      </c>
      <c r="B6" s="32">
        <f>1-B5</f>
        <v>0.40159253985284715</v>
      </c>
      <c r="C6" s="33">
        <v>0</v>
      </c>
      <c r="D6" s="32">
        <f>B6-C6</f>
        <v>0.40159253985284715</v>
      </c>
      <c r="E6" s="34">
        <v>0</v>
      </c>
      <c r="F6" s="34">
        <f>D6*E6</f>
        <v>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22"/>
      <c r="B7" s="22"/>
      <c r="C7" s="22"/>
      <c r="D7" s="22"/>
      <c r="E7" s="22"/>
      <c r="F7" s="22"/>
      <c r="G7" s="1"/>
      <c r="H7" s="1"/>
      <c r="I7" s="1"/>
      <c r="J7" s="1"/>
      <c r="K7" s="1"/>
      <c r="L7" s="1"/>
      <c r="M7" s="1"/>
      <c r="N7" s="1"/>
      <c r="O7" s="1"/>
    </row>
    <row r="8" spans="1:15" ht="56.6">
      <c r="A8" s="35" t="s">
        <v>70</v>
      </c>
      <c r="B8" s="22"/>
      <c r="C8" s="22"/>
      <c r="D8" s="22"/>
      <c r="E8" s="22"/>
      <c r="F8" s="29">
        <f>F5+F6</f>
        <v>-8.1076358270013669E-3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22"/>
      <c r="B9" s="22"/>
      <c r="C9" s="22"/>
      <c r="D9" s="22"/>
      <c r="E9" s="22"/>
      <c r="F9" s="22"/>
      <c r="G9" s="1"/>
      <c r="H9" s="1"/>
      <c r="I9" s="1"/>
      <c r="J9" s="1"/>
      <c r="K9" s="1"/>
      <c r="L9" s="1"/>
      <c r="M9" s="1"/>
      <c r="N9" s="1"/>
      <c r="O9" s="1"/>
    </row>
    <row r="10" spans="1:15" ht="18.45" thickBot="1">
      <c r="A10" s="67" t="s">
        <v>71</v>
      </c>
      <c r="B10" s="67"/>
      <c r="C10" s="67"/>
      <c r="D10" s="67"/>
      <c r="E10" s="67"/>
      <c r="F10" s="67"/>
      <c r="G10" s="1"/>
      <c r="H10" s="1"/>
      <c r="I10" s="1"/>
      <c r="J10" s="1"/>
      <c r="K10" s="1"/>
      <c r="L10" s="1"/>
      <c r="M10" s="1"/>
      <c r="N10" s="1"/>
      <c r="O10" s="1"/>
    </row>
    <row r="11" spans="1:15" ht="15.25" thickBot="1">
      <c r="A11" s="26"/>
      <c r="B11" s="27" t="s">
        <v>72</v>
      </c>
      <c r="C11" s="27" t="s">
        <v>73</v>
      </c>
      <c r="D11" s="27" t="s">
        <v>74</v>
      </c>
      <c r="E11" s="27" t="s">
        <v>64</v>
      </c>
      <c r="F11" s="27" t="s">
        <v>68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75.75" customHeight="1" thickBot="1">
      <c r="A12" s="36" t="s">
        <v>86</v>
      </c>
      <c r="B12" s="37">
        <f>'Portfolio and Benchmark'!C33</f>
        <v>5.5698412190000823E-2</v>
      </c>
      <c r="C12" s="32">
        <f>'Portfolio and Benchmark'!D33</f>
        <v>2.0188711249397695E-2</v>
      </c>
      <c r="D12" s="32">
        <f>B12-C12</f>
        <v>3.5509700940603128E-2</v>
      </c>
      <c r="E12" s="32">
        <f>B5</f>
        <v>0.59840746014715285</v>
      </c>
      <c r="F12" s="32">
        <f>D12*E12</f>
        <v>2.1249269950451281E-2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5"/>
      <c r="B13" s="38"/>
      <c r="C13" s="30"/>
      <c r="D13" s="29"/>
      <c r="E13" s="29"/>
      <c r="F13" s="29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22"/>
      <c r="B14" s="22"/>
      <c r="C14" s="22"/>
      <c r="D14" s="22"/>
      <c r="E14" s="22"/>
      <c r="F14" s="22"/>
      <c r="G14" s="1"/>
      <c r="H14" s="1"/>
      <c r="I14" s="1"/>
      <c r="J14" s="1"/>
      <c r="K14" s="1"/>
      <c r="L14" s="1"/>
      <c r="M14" s="1"/>
      <c r="N14" s="1"/>
      <c r="O14" s="1"/>
    </row>
    <row r="15" spans="1:15" ht="42.45">
      <c r="A15" s="35" t="s">
        <v>75</v>
      </c>
      <c r="B15" s="22"/>
      <c r="C15" s="22"/>
      <c r="D15" s="22"/>
      <c r="E15" s="22"/>
      <c r="F15" s="29">
        <f>F8+F12</f>
        <v>1.3141634123449914E-2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4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</sheetData>
  <mergeCells count="3">
    <mergeCell ref="A1:G1"/>
    <mergeCell ref="A3:F3"/>
    <mergeCell ref="A10:F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B918-9002-4298-A422-B7B5A919CDE9}">
  <dimension ref="A1:R44"/>
  <sheetViews>
    <sheetView topLeftCell="A6" zoomScale="55" zoomScaleNormal="55" workbookViewId="0">
      <selection activeCell="H29" sqref="H29"/>
    </sheetView>
  </sheetViews>
  <sheetFormatPr defaultRowHeight="14.6"/>
  <cols>
    <col min="1" max="1" width="14.421875" customWidth="1"/>
    <col min="2" max="2" width="16.8828125" customWidth="1"/>
    <col min="3" max="3" width="13" customWidth="1"/>
    <col min="4" max="4" width="11.65234375" customWidth="1"/>
    <col min="5" max="5" width="11.53515625" customWidth="1"/>
    <col min="6" max="6" width="10.65234375" customWidth="1"/>
    <col min="7" max="7" width="11.421875" customWidth="1"/>
    <col min="10" max="10" width="20.421875" customWidth="1"/>
    <col min="11" max="11" width="17.421875" customWidth="1"/>
    <col min="12" max="12" width="18.34375" customWidth="1"/>
    <col min="13" max="13" width="15.11328125" customWidth="1"/>
    <col min="14" max="14" width="13.53515625" customWidth="1"/>
    <col min="15" max="15" width="17" customWidth="1"/>
    <col min="16" max="16" width="13.65234375" customWidth="1"/>
    <col min="17" max="17" width="13.53515625" customWidth="1"/>
    <col min="18" max="18" width="13.8828125" customWidth="1"/>
  </cols>
  <sheetData>
    <row r="1" spans="1:15" ht="22.75">
      <c r="A1" s="68" t="s">
        <v>56</v>
      </c>
      <c r="B1" s="68"/>
      <c r="C1" s="68"/>
      <c r="D1" s="68"/>
      <c r="E1" s="68"/>
      <c r="F1" s="68"/>
      <c r="G1" s="2"/>
      <c r="J1" s="69" t="s">
        <v>62</v>
      </c>
      <c r="K1" s="69"/>
      <c r="L1" s="69"/>
    </row>
    <row r="2" spans="1:15">
      <c r="A2" s="2"/>
      <c r="B2" s="3" t="s">
        <v>57</v>
      </c>
      <c r="C2" s="4" t="s">
        <v>58</v>
      </c>
      <c r="D2" s="4" t="s">
        <v>59</v>
      </c>
      <c r="E2" s="4" t="s">
        <v>60</v>
      </c>
      <c r="F2" s="4" t="s">
        <v>61</v>
      </c>
      <c r="G2" s="4" t="s">
        <v>92</v>
      </c>
      <c r="N2" t="s">
        <v>91</v>
      </c>
      <c r="O2" t="s">
        <v>93</v>
      </c>
    </row>
    <row r="3" spans="1:15">
      <c r="A3" s="4"/>
      <c r="B3" s="5"/>
      <c r="C3" s="6"/>
      <c r="D3" s="6"/>
      <c r="E3" s="6"/>
      <c r="F3" s="6"/>
      <c r="G3" s="7"/>
    </row>
    <row r="4" spans="1:15">
      <c r="A4" s="4"/>
      <c r="B4" s="5"/>
      <c r="C4" s="6"/>
      <c r="D4" s="6"/>
      <c r="E4" s="6"/>
      <c r="F4" s="6"/>
      <c r="G4" s="7"/>
    </row>
    <row r="5" spans="1:15">
      <c r="A5" s="4"/>
      <c r="B5" s="5"/>
      <c r="C5" s="6"/>
      <c r="D5" s="6"/>
      <c r="E5" s="6"/>
      <c r="F5" s="6"/>
      <c r="G5" s="7"/>
    </row>
    <row r="6" spans="1:15">
      <c r="A6" s="4"/>
      <c r="B6" s="5"/>
      <c r="C6" s="6"/>
      <c r="D6" s="6"/>
      <c r="E6" s="6"/>
      <c r="F6" s="6"/>
      <c r="G6" s="7"/>
    </row>
    <row r="7" spans="1:15">
      <c r="A7" s="4"/>
      <c r="B7" s="5"/>
      <c r="C7" s="6"/>
      <c r="D7" s="6"/>
      <c r="E7" s="6"/>
      <c r="F7" s="6"/>
      <c r="G7" s="7"/>
    </row>
    <row r="8" spans="1:15">
      <c r="A8" s="4"/>
      <c r="B8" s="5"/>
      <c r="C8" s="6"/>
      <c r="D8" s="6"/>
      <c r="E8" s="6"/>
      <c r="F8" s="6"/>
      <c r="G8" s="7"/>
    </row>
    <row r="9" spans="1:15">
      <c r="A9" s="4"/>
      <c r="B9" s="5"/>
      <c r="C9" s="6"/>
      <c r="D9" s="6"/>
      <c r="E9" s="6"/>
      <c r="F9" s="6"/>
      <c r="G9" s="7"/>
    </row>
    <row r="10" spans="1:15">
      <c r="A10" s="49">
        <v>44726</v>
      </c>
      <c r="B10" s="5"/>
      <c r="C10" s="6"/>
      <c r="D10" s="6"/>
      <c r="E10" s="6"/>
      <c r="F10" s="6"/>
      <c r="G10" s="7"/>
      <c r="J10" t="s">
        <v>88</v>
      </c>
    </row>
    <row r="11" spans="1:15">
      <c r="A11" s="49">
        <v>44727</v>
      </c>
      <c r="B11" s="5"/>
      <c r="C11" s="6"/>
      <c r="D11" s="6"/>
      <c r="E11" s="6"/>
      <c r="F11" s="6"/>
      <c r="G11" s="7"/>
      <c r="J11" t="s">
        <v>89</v>
      </c>
    </row>
    <row r="12" spans="1:15">
      <c r="A12" s="49">
        <v>44728</v>
      </c>
      <c r="B12" s="5"/>
      <c r="C12" s="6"/>
      <c r="D12" s="6"/>
      <c r="E12" s="6"/>
      <c r="F12" s="6"/>
      <c r="G12" s="7"/>
    </row>
    <row r="13" spans="1:15">
      <c r="A13" s="49">
        <v>44729</v>
      </c>
      <c r="B13" s="5"/>
      <c r="C13" s="6"/>
      <c r="D13" s="6"/>
      <c r="E13" s="6"/>
      <c r="F13" s="6"/>
      <c r="G13" s="7"/>
      <c r="J13" t="s">
        <v>79</v>
      </c>
    </row>
    <row r="14" spans="1:15" ht="15.25" thickBot="1">
      <c r="A14" s="49">
        <v>44733</v>
      </c>
      <c r="B14" s="5"/>
      <c r="C14" s="6"/>
      <c r="D14" s="6"/>
      <c r="E14" s="6"/>
      <c r="F14" s="6"/>
      <c r="G14" s="7"/>
    </row>
    <row r="15" spans="1:15">
      <c r="A15" s="49">
        <v>44734</v>
      </c>
      <c r="B15" s="5"/>
      <c r="C15" s="6"/>
      <c r="D15" s="6"/>
      <c r="E15" s="6"/>
      <c r="F15" s="6"/>
      <c r="G15" s="7"/>
      <c r="J15" s="46" t="s">
        <v>36</v>
      </c>
      <c r="K15" s="46"/>
    </row>
    <row r="16" spans="1:15">
      <c r="A16" s="49">
        <v>44735</v>
      </c>
      <c r="B16" s="5"/>
      <c r="C16" s="6"/>
      <c r="D16" s="6"/>
      <c r="E16" s="6"/>
      <c r="F16" s="6"/>
      <c r="G16" s="7"/>
      <c r="J16" t="s">
        <v>33</v>
      </c>
      <c r="K16">
        <v>0.79726051651002794</v>
      </c>
    </row>
    <row r="17" spans="1:18">
      <c r="A17" s="49">
        <v>44736</v>
      </c>
      <c r="B17" s="5"/>
      <c r="C17" s="6"/>
      <c r="D17" s="6"/>
      <c r="E17" s="6"/>
      <c r="F17" s="6"/>
      <c r="G17" s="7"/>
      <c r="J17" t="s">
        <v>34</v>
      </c>
      <c r="K17">
        <v>0.6356243311858365</v>
      </c>
    </row>
    <row r="18" spans="1:18">
      <c r="A18" s="49">
        <v>44736</v>
      </c>
      <c r="B18" s="5"/>
      <c r="C18" s="6"/>
      <c r="D18" s="6"/>
      <c r="E18" s="6"/>
      <c r="F18" s="6"/>
      <c r="G18" s="7"/>
      <c r="J18" t="s">
        <v>35</v>
      </c>
      <c r="K18">
        <v>0.60036216968769163</v>
      </c>
    </row>
    <row r="19" spans="1:18">
      <c r="A19" s="49">
        <v>44739</v>
      </c>
      <c r="B19" s="5"/>
      <c r="C19" s="6"/>
      <c r="D19" s="6"/>
      <c r="E19" s="6"/>
      <c r="F19" s="6"/>
      <c r="G19" s="7"/>
      <c r="J19" t="s">
        <v>37</v>
      </c>
      <c r="K19">
        <v>6.8761889917221307E-3</v>
      </c>
    </row>
    <row r="20" spans="1:18" ht="15.25" thickBot="1">
      <c r="A20" s="49">
        <v>44739</v>
      </c>
      <c r="B20" s="5"/>
      <c r="C20" s="6"/>
      <c r="D20" s="6"/>
      <c r="E20" s="6"/>
      <c r="F20" s="6"/>
      <c r="G20" s="7"/>
      <c r="J20" s="43" t="s">
        <v>38</v>
      </c>
      <c r="K20" s="43">
        <v>35</v>
      </c>
    </row>
    <row r="21" spans="1:18">
      <c r="A21" s="49">
        <v>44740</v>
      </c>
      <c r="B21" s="5"/>
      <c r="C21" s="6"/>
      <c r="D21" s="6"/>
      <c r="E21" s="6"/>
      <c r="F21" s="6"/>
      <c r="G21" s="7"/>
    </row>
    <row r="22" spans="1:18" ht="15.25" thickBot="1">
      <c r="A22" s="49">
        <v>44741</v>
      </c>
      <c r="B22" s="5"/>
      <c r="C22" s="6"/>
      <c r="D22" s="6"/>
      <c r="E22" s="6"/>
      <c r="F22" s="6"/>
      <c r="G22" s="7"/>
      <c r="J22" t="s">
        <v>39</v>
      </c>
    </row>
    <row r="23" spans="1:18">
      <c r="A23" s="49">
        <v>44742</v>
      </c>
      <c r="B23" s="5"/>
      <c r="C23" s="6"/>
      <c r="D23" s="6"/>
      <c r="E23" s="6"/>
      <c r="F23" s="6"/>
      <c r="G23" s="7"/>
      <c r="J23" s="45"/>
      <c r="K23" s="45" t="s">
        <v>44</v>
      </c>
      <c r="L23" s="45" t="s">
        <v>45</v>
      </c>
      <c r="M23" s="45" t="s">
        <v>46</v>
      </c>
      <c r="N23" s="45" t="s">
        <v>47</v>
      </c>
      <c r="O23" s="45" t="s">
        <v>48</v>
      </c>
    </row>
    <row r="24" spans="1:18">
      <c r="A24" s="49">
        <v>44743</v>
      </c>
      <c r="B24" s="5"/>
      <c r="C24" s="6"/>
      <c r="D24" s="6"/>
      <c r="E24" s="6"/>
      <c r="F24" s="6"/>
      <c r="G24" s="7"/>
      <c r="J24" t="s">
        <v>40</v>
      </c>
      <c r="K24">
        <v>3</v>
      </c>
      <c r="L24">
        <v>2.556868821255347E-3</v>
      </c>
      <c r="M24">
        <v>8.5228960708511568E-4</v>
      </c>
      <c r="N24">
        <v>18.025676934730072</v>
      </c>
      <c r="O24">
        <v>5.9004648279028885E-7</v>
      </c>
    </row>
    <row r="25" spans="1:18">
      <c r="B25" s="5"/>
      <c r="C25" s="6"/>
      <c r="D25" s="6"/>
      <c r="E25" s="6"/>
      <c r="F25" s="6"/>
      <c r="G25" s="7"/>
      <c r="J25" t="s">
        <v>41</v>
      </c>
      <c r="K25">
        <v>31</v>
      </c>
      <c r="L25">
        <v>1.4657412265462989E-3</v>
      </c>
      <c r="M25">
        <v>4.7281975049880609E-5</v>
      </c>
    </row>
    <row r="26" spans="1:18" ht="15.25" thickBot="1">
      <c r="A26" s="4"/>
      <c r="B26" s="5"/>
      <c r="C26" s="6"/>
      <c r="D26" s="6"/>
      <c r="E26" s="6"/>
      <c r="F26" s="6"/>
      <c r="G26" s="7"/>
      <c r="J26" s="43" t="s">
        <v>42</v>
      </c>
      <c r="K26" s="43">
        <v>34</v>
      </c>
      <c r="L26" s="43">
        <v>4.0226100478016457E-3</v>
      </c>
      <c r="M26" s="43"/>
      <c r="N26" s="43"/>
      <c r="O26" s="43"/>
    </row>
    <row r="27" spans="1:18" ht="15.25" thickBot="1">
      <c r="A27" s="4"/>
      <c r="B27" s="5"/>
      <c r="C27" s="6"/>
      <c r="D27" s="6"/>
      <c r="E27" s="6"/>
      <c r="F27" s="6"/>
      <c r="G27" s="7"/>
    </row>
    <row r="28" spans="1:18">
      <c r="A28" s="4"/>
      <c r="B28" s="5"/>
      <c r="C28" s="6"/>
      <c r="D28" s="6"/>
      <c r="E28" s="6"/>
      <c r="F28" s="6"/>
      <c r="G28" s="7"/>
      <c r="J28" s="45"/>
      <c r="K28" s="45" t="s">
        <v>49</v>
      </c>
      <c r="L28" s="45" t="s">
        <v>37</v>
      </c>
      <c r="M28" s="45" t="s">
        <v>50</v>
      </c>
      <c r="N28" s="45" t="s">
        <v>51</v>
      </c>
      <c r="O28" s="45" t="s">
        <v>52</v>
      </c>
      <c r="P28" s="45" t="s">
        <v>53</v>
      </c>
      <c r="Q28" s="45" t="s">
        <v>54</v>
      </c>
      <c r="R28" s="45" t="s">
        <v>55</v>
      </c>
    </row>
    <row r="29" spans="1:18">
      <c r="A29" s="4"/>
      <c r="B29" s="5"/>
      <c r="C29" s="6"/>
      <c r="D29" s="6"/>
      <c r="E29" s="6"/>
      <c r="F29" s="6"/>
      <c r="G29" s="7"/>
      <c r="J29" t="s">
        <v>43</v>
      </c>
      <c r="K29">
        <v>9.4395628795083746E-4</v>
      </c>
      <c r="L29">
        <v>1.1906553613799577E-3</v>
      </c>
      <c r="M29">
        <v>0.79280396206069359</v>
      </c>
      <c r="N29">
        <v>0.43391798432059414</v>
      </c>
      <c r="O29">
        <v>-1.4844013316075611E-3</v>
      </c>
      <c r="P29">
        <v>3.3723139075092358E-3</v>
      </c>
      <c r="Q29">
        <v>-1.4844013316075611E-3</v>
      </c>
      <c r="R29">
        <v>3.3723139075092358E-3</v>
      </c>
    </row>
    <row r="30" spans="1:18">
      <c r="A30" s="4"/>
      <c r="B30" s="5"/>
      <c r="C30" s="6"/>
      <c r="D30" s="6"/>
      <c r="E30" s="6"/>
      <c r="F30" s="6"/>
      <c r="G30" s="7"/>
      <c r="I30" s="4" t="s">
        <v>58</v>
      </c>
      <c r="J30" t="s">
        <v>76</v>
      </c>
      <c r="K30">
        <v>0.63635567601916598</v>
      </c>
      <c r="L30">
        <v>9.8492691913996858E-2</v>
      </c>
      <c r="M30">
        <v>6.4609430776328809</v>
      </c>
      <c r="N30">
        <v>3.3290776011818138E-7</v>
      </c>
      <c r="O30">
        <v>0.43547850648879061</v>
      </c>
      <c r="P30">
        <v>0.83723284554954136</v>
      </c>
      <c r="Q30">
        <v>0.43547850648879061</v>
      </c>
      <c r="R30">
        <v>0.83723284554954136</v>
      </c>
    </row>
    <row r="31" spans="1:18">
      <c r="A31" s="4"/>
      <c r="B31" s="5"/>
      <c r="C31" s="6"/>
      <c r="D31" s="6"/>
      <c r="E31" s="6"/>
      <c r="F31" s="6"/>
      <c r="G31" s="7"/>
      <c r="I31" s="4" t="s">
        <v>59</v>
      </c>
      <c r="J31" t="s">
        <v>77</v>
      </c>
      <c r="K31">
        <v>6.3887655982705391E-2</v>
      </c>
      <c r="L31">
        <v>0.25870708947810062</v>
      </c>
      <c r="M31">
        <v>0.24694976899005097</v>
      </c>
      <c r="N31">
        <v>0.80657523366373785</v>
      </c>
      <c r="O31">
        <v>-0.46374893168595954</v>
      </c>
      <c r="P31">
        <v>0.59152424365137035</v>
      </c>
      <c r="Q31">
        <v>-0.46374893168595954</v>
      </c>
      <c r="R31">
        <v>0.59152424365137035</v>
      </c>
    </row>
    <row r="32" spans="1:18" ht="15.25" thickBot="1">
      <c r="A32" s="4"/>
      <c r="B32" s="5"/>
      <c r="C32" s="6"/>
      <c r="D32" s="6"/>
      <c r="E32" s="6"/>
      <c r="F32" s="6"/>
      <c r="G32" s="7"/>
      <c r="I32" s="4" t="s">
        <v>60</v>
      </c>
      <c r="J32" s="43" t="s">
        <v>78</v>
      </c>
      <c r="K32" s="43">
        <v>-0.4588669273638587</v>
      </c>
      <c r="L32" s="43">
        <v>0.34987570107685373</v>
      </c>
      <c r="M32" s="43">
        <v>-1.3115141347385653</v>
      </c>
      <c r="N32" s="43">
        <v>0.19931506907341059</v>
      </c>
      <c r="O32" s="43">
        <v>-1.1724431242774722</v>
      </c>
      <c r="P32" s="43">
        <v>0.2547092695497547</v>
      </c>
      <c r="Q32" s="43">
        <v>-1.1724431242774722</v>
      </c>
      <c r="R32" s="43">
        <v>0.2547092695497547</v>
      </c>
    </row>
    <row r="33" spans="1:7">
      <c r="A33" s="4"/>
      <c r="B33" s="5"/>
      <c r="C33" s="6"/>
      <c r="D33" s="6"/>
      <c r="E33" s="6"/>
      <c r="F33" s="6"/>
      <c r="G33" s="7"/>
    </row>
    <row r="34" spans="1:7">
      <c r="A34" s="4"/>
      <c r="B34" s="5"/>
      <c r="C34" s="6"/>
      <c r="D34" s="6"/>
      <c r="E34" s="6"/>
      <c r="F34" s="6"/>
      <c r="G34" s="7"/>
    </row>
    <row r="35" spans="1:7">
      <c r="A35" s="4"/>
      <c r="B35" s="5"/>
      <c r="C35" s="6"/>
      <c r="D35" s="6"/>
      <c r="E35" s="6"/>
      <c r="F35" s="6"/>
      <c r="G35" s="7"/>
    </row>
    <row r="36" spans="1:7">
      <c r="A36" s="4"/>
      <c r="B36" s="5"/>
      <c r="C36" s="6"/>
      <c r="D36" s="6"/>
      <c r="E36" s="6"/>
      <c r="F36" s="6"/>
      <c r="G36" s="7"/>
    </row>
    <row r="37" spans="1:7">
      <c r="A37" s="4"/>
      <c r="B37" s="5"/>
      <c r="C37" s="6"/>
      <c r="D37" s="6"/>
      <c r="E37" s="6"/>
      <c r="F37" s="6"/>
      <c r="G37" s="7"/>
    </row>
    <row r="38" spans="1:7">
      <c r="A38" s="4"/>
      <c r="B38" s="5"/>
      <c r="C38" s="6"/>
      <c r="D38" s="6"/>
      <c r="E38" s="6"/>
      <c r="F38" s="6"/>
      <c r="G38" s="7"/>
    </row>
    <row r="39" spans="1:7">
      <c r="A39" s="4"/>
      <c r="B39" s="5"/>
      <c r="C39" s="6"/>
      <c r="D39" s="6"/>
      <c r="E39" s="6"/>
      <c r="F39" s="6"/>
      <c r="G39" s="7"/>
    </row>
    <row r="40" spans="1:7">
      <c r="A40" s="4"/>
      <c r="B40" s="5"/>
      <c r="C40" s="6"/>
      <c r="D40" s="6"/>
      <c r="E40" s="6"/>
      <c r="F40" s="6"/>
      <c r="G40" s="7"/>
    </row>
    <row r="41" spans="1:7">
      <c r="A41" s="4"/>
      <c r="B41" s="5"/>
      <c r="C41" s="6"/>
      <c r="D41" s="6"/>
      <c r="E41" s="6"/>
      <c r="F41" s="6"/>
      <c r="G41" s="7"/>
    </row>
    <row r="42" spans="1:7">
      <c r="A42" s="4"/>
      <c r="B42" s="5"/>
      <c r="C42" s="6"/>
      <c r="D42" s="6"/>
      <c r="E42" s="6"/>
      <c r="F42" s="6"/>
      <c r="G42" s="7"/>
    </row>
    <row r="43" spans="1:7">
      <c r="A43" s="4"/>
      <c r="B43" s="5"/>
      <c r="C43" s="6"/>
      <c r="D43" s="6"/>
      <c r="E43" s="6"/>
      <c r="F43" s="6"/>
      <c r="G43" s="7"/>
    </row>
    <row r="44" spans="1:7">
      <c r="A44" s="4"/>
      <c r="B44" s="5"/>
      <c r="C44" s="6"/>
      <c r="D44" s="6"/>
      <c r="E44" s="6"/>
      <c r="F44" s="6"/>
      <c r="G44" s="7"/>
    </row>
  </sheetData>
  <mergeCells count="2">
    <mergeCell ref="A1:F1"/>
    <mergeCell ref="J1:L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Data</vt:lpstr>
      <vt:lpstr>Portfolio and Benchmark</vt:lpstr>
      <vt:lpstr>Performance Attribution</vt:lpstr>
      <vt:lpstr>Fama 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Ganghua Mei</cp:lastModifiedBy>
  <dcterms:created xsi:type="dcterms:W3CDTF">2018-02-05T01:45:54Z</dcterms:created>
  <dcterms:modified xsi:type="dcterms:W3CDTF">2022-12-25T06:53:27Z</dcterms:modified>
</cp:coreProperties>
</file>