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esha/Downloads/"/>
    </mc:Choice>
  </mc:AlternateContent>
  <xr:revisionPtr revIDLastSave="0" documentId="13_ncr:1_{C3546297-C4FE-EB40-AC31-432B15935747}" xr6:coauthVersionLast="46" xr6:coauthVersionMax="46" xr10:uidLastSave="{00000000-0000-0000-0000-000000000000}"/>
  <bookViews>
    <workbookView xWindow="9280" yWindow="2540" windowWidth="26440" windowHeight="15440" xr2:uid="{A7B02C65-F8F5-7245-A844-E202FE2A1174}"/>
  </bookViews>
  <sheets>
    <sheet name="ira, low, solar, 2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25" i="1"/>
  <c r="K25" i="1"/>
  <c r="K26" i="1"/>
  <c r="K9" i="1" s="1"/>
  <c r="G9" i="1"/>
  <c r="G8" i="1"/>
  <c r="G7" i="1"/>
  <c r="F19" i="1"/>
  <c r="F18" i="1"/>
  <c r="D19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L197" i="1"/>
  <c r="L196" i="1"/>
  <c r="L195" i="1"/>
  <c r="L194" i="1"/>
  <c r="M193" i="1"/>
  <c r="L193" i="1"/>
  <c r="M192" i="1"/>
  <c r="L192" i="1"/>
  <c r="L191" i="1"/>
  <c r="M190" i="1"/>
  <c r="L190" i="1"/>
  <c r="L189" i="1"/>
  <c r="L188" i="1"/>
  <c r="L187" i="1"/>
  <c r="M186" i="1"/>
  <c r="L186" i="1"/>
  <c r="L185" i="1"/>
  <c r="L184" i="1"/>
  <c r="L161" i="1"/>
  <c r="U161" i="1" s="1"/>
  <c r="U160" i="1"/>
  <c r="L160" i="1"/>
  <c r="M159" i="1"/>
  <c r="L159" i="1"/>
  <c r="U159" i="1" s="1"/>
  <c r="L158" i="1"/>
  <c r="U158" i="1" s="1"/>
  <c r="L157" i="1"/>
  <c r="U157" i="1" s="1"/>
  <c r="L156" i="1"/>
  <c r="U156" i="1" s="1"/>
  <c r="U155" i="1"/>
  <c r="L155" i="1"/>
  <c r="U154" i="1"/>
  <c r="L154" i="1"/>
  <c r="U153" i="1"/>
  <c r="L153" i="1"/>
  <c r="U152" i="1"/>
  <c r="L152" i="1"/>
  <c r="L151" i="1"/>
  <c r="U151" i="1" s="1"/>
  <c r="L150" i="1"/>
  <c r="U150" i="1" s="1"/>
  <c r="M149" i="1"/>
  <c r="L149" i="1"/>
  <c r="U149" i="1" s="1"/>
  <c r="L148" i="1"/>
  <c r="U148" i="1" s="1"/>
  <c r="AE102" i="1"/>
  <c r="AC102" i="1"/>
  <c r="AB102" i="1"/>
  <c r="W102" i="1"/>
  <c r="V102" i="1"/>
  <c r="AM102" i="1" s="1"/>
  <c r="T102" i="1"/>
  <c r="M102" i="1"/>
  <c r="AM101" i="1"/>
  <c r="AE101" i="1"/>
  <c r="AC101" i="1"/>
  <c r="AB101" i="1"/>
  <c r="W101" i="1"/>
  <c r="V101" i="1"/>
  <c r="T101" i="1"/>
  <c r="M101" i="1"/>
  <c r="AE100" i="1"/>
  <c r="AC100" i="1"/>
  <c r="AB100" i="1"/>
  <c r="W100" i="1"/>
  <c r="V100" i="1"/>
  <c r="AM100" i="1" s="1"/>
  <c r="T100" i="1"/>
  <c r="M100" i="1"/>
  <c r="AE99" i="1"/>
  <c r="AC99" i="1"/>
  <c r="AB99" i="1"/>
  <c r="W99" i="1"/>
  <c r="V99" i="1"/>
  <c r="AM99" i="1" s="1"/>
  <c r="T99" i="1"/>
  <c r="M99" i="1"/>
  <c r="AE98" i="1"/>
  <c r="AC98" i="1"/>
  <c r="AB98" i="1"/>
  <c r="W98" i="1"/>
  <c r="V98" i="1"/>
  <c r="AM98" i="1" s="1"/>
  <c r="T98" i="1"/>
  <c r="M98" i="1"/>
  <c r="AE97" i="1"/>
  <c r="AC97" i="1"/>
  <c r="AB97" i="1"/>
  <c r="W97" i="1"/>
  <c r="V97" i="1"/>
  <c r="AM97" i="1" s="1"/>
  <c r="T97" i="1"/>
  <c r="M97" i="1"/>
  <c r="AM96" i="1"/>
  <c r="AE96" i="1"/>
  <c r="AC96" i="1"/>
  <c r="AB96" i="1"/>
  <c r="W96" i="1"/>
  <c r="V96" i="1"/>
  <c r="T96" i="1"/>
  <c r="M96" i="1"/>
  <c r="AE95" i="1"/>
  <c r="AC95" i="1"/>
  <c r="AB95" i="1"/>
  <c r="W95" i="1"/>
  <c r="V95" i="1"/>
  <c r="AM95" i="1" s="1"/>
  <c r="T95" i="1"/>
  <c r="M95" i="1"/>
  <c r="AE94" i="1"/>
  <c r="AC94" i="1"/>
  <c r="AB94" i="1"/>
  <c r="W94" i="1"/>
  <c r="V94" i="1"/>
  <c r="AM94" i="1" s="1"/>
  <c r="T94" i="1"/>
  <c r="M94" i="1"/>
  <c r="AM93" i="1"/>
  <c r="AE93" i="1"/>
  <c r="AC93" i="1"/>
  <c r="AB93" i="1"/>
  <c r="W93" i="1"/>
  <c r="V93" i="1"/>
  <c r="T93" i="1"/>
  <c r="M93" i="1"/>
  <c r="AE92" i="1"/>
  <c r="AC92" i="1"/>
  <c r="AB92" i="1"/>
  <c r="W92" i="1"/>
  <c r="V92" i="1"/>
  <c r="AM92" i="1" s="1"/>
  <c r="T92" i="1"/>
  <c r="M92" i="1"/>
  <c r="AM91" i="1"/>
  <c r="AE91" i="1"/>
  <c r="AC91" i="1"/>
  <c r="AB91" i="1"/>
  <c r="W91" i="1"/>
  <c r="V91" i="1"/>
  <c r="T91" i="1"/>
  <c r="M91" i="1"/>
  <c r="AM90" i="1"/>
  <c r="AE90" i="1"/>
  <c r="AC90" i="1"/>
  <c r="AB90" i="1"/>
  <c r="W90" i="1"/>
  <c r="V90" i="1"/>
  <c r="T90" i="1"/>
  <c r="M90" i="1"/>
  <c r="AM89" i="1"/>
  <c r="AE89" i="1"/>
  <c r="AC89" i="1"/>
  <c r="AB89" i="1"/>
  <c r="W89" i="1"/>
  <c r="V89" i="1"/>
  <c r="T89" i="1"/>
  <c r="M89" i="1"/>
  <c r="AM88" i="1"/>
  <c r="AE88" i="1"/>
  <c r="AC88" i="1"/>
  <c r="AB88" i="1"/>
  <c r="W88" i="1"/>
  <c r="V88" i="1"/>
  <c r="T88" i="1"/>
  <c r="M88" i="1"/>
  <c r="AE87" i="1"/>
  <c r="AC87" i="1"/>
  <c r="AB87" i="1"/>
  <c r="W87" i="1"/>
  <c r="V87" i="1"/>
  <c r="AM87" i="1" s="1"/>
  <c r="T87" i="1"/>
  <c r="M87" i="1"/>
  <c r="AM86" i="1"/>
  <c r="AE86" i="1"/>
  <c r="AC86" i="1"/>
  <c r="AB86" i="1"/>
  <c r="W86" i="1"/>
  <c r="V86" i="1"/>
  <c r="T86" i="1"/>
  <c r="M86" i="1"/>
  <c r="AE85" i="1"/>
  <c r="AC85" i="1"/>
  <c r="AB85" i="1"/>
  <c r="W85" i="1"/>
  <c r="V85" i="1"/>
  <c r="AM85" i="1" s="1"/>
  <c r="T85" i="1"/>
  <c r="M85" i="1"/>
  <c r="AE84" i="1"/>
  <c r="AC84" i="1"/>
  <c r="AB84" i="1"/>
  <c r="W84" i="1"/>
  <c r="V84" i="1"/>
  <c r="AM84" i="1" s="1"/>
  <c r="T84" i="1"/>
  <c r="M84" i="1"/>
  <c r="AE83" i="1"/>
  <c r="AC83" i="1"/>
  <c r="AB83" i="1"/>
  <c r="W83" i="1"/>
  <c r="V83" i="1"/>
  <c r="AM83" i="1" s="1"/>
  <c r="T83" i="1"/>
  <c r="M83" i="1"/>
  <c r="AE82" i="1"/>
  <c r="AC82" i="1"/>
  <c r="AB82" i="1"/>
  <c r="W82" i="1"/>
  <c r="V82" i="1"/>
  <c r="AM82" i="1" s="1"/>
  <c r="T82" i="1"/>
  <c r="M82" i="1"/>
  <c r="AM81" i="1"/>
  <c r="AE81" i="1"/>
  <c r="AC81" i="1"/>
  <c r="AB81" i="1"/>
  <c r="W81" i="1"/>
  <c r="V81" i="1"/>
  <c r="T81" i="1"/>
  <c r="M81" i="1"/>
  <c r="AE80" i="1"/>
  <c r="AC80" i="1"/>
  <c r="AB80" i="1"/>
  <c r="W80" i="1"/>
  <c r="V80" i="1"/>
  <c r="AM80" i="1" s="1"/>
  <c r="T80" i="1"/>
  <c r="M80" i="1"/>
  <c r="AE79" i="1"/>
  <c r="AC79" i="1"/>
  <c r="AB79" i="1"/>
  <c r="W79" i="1"/>
  <c r="V79" i="1"/>
  <c r="AM79" i="1" s="1"/>
  <c r="T79" i="1"/>
  <c r="M79" i="1"/>
  <c r="AM78" i="1"/>
  <c r="AE78" i="1"/>
  <c r="AC78" i="1"/>
  <c r="AB78" i="1"/>
  <c r="W78" i="1"/>
  <c r="V78" i="1"/>
  <c r="T78" i="1"/>
  <c r="M78" i="1"/>
  <c r="AE77" i="1"/>
  <c r="AC77" i="1"/>
  <c r="AB77" i="1"/>
  <c r="W77" i="1"/>
  <c r="V77" i="1"/>
  <c r="AM77" i="1" s="1"/>
  <c r="T77" i="1"/>
  <c r="M77" i="1"/>
  <c r="AM76" i="1"/>
  <c r="AE76" i="1"/>
  <c r="AC76" i="1"/>
  <c r="AB76" i="1"/>
  <c r="W76" i="1"/>
  <c r="V76" i="1"/>
  <c r="T76" i="1"/>
  <c r="M76" i="1"/>
  <c r="AE75" i="1"/>
  <c r="AC75" i="1"/>
  <c r="AB75" i="1"/>
  <c r="W75" i="1"/>
  <c r="V75" i="1"/>
  <c r="AM75" i="1" s="1"/>
  <c r="T75" i="1"/>
  <c r="M75" i="1"/>
  <c r="AM74" i="1"/>
  <c r="AE74" i="1"/>
  <c r="AC74" i="1"/>
  <c r="AB74" i="1"/>
  <c r="W74" i="1"/>
  <c r="V74" i="1"/>
  <c r="T74" i="1"/>
  <c r="M74" i="1"/>
  <c r="AM73" i="1"/>
  <c r="AE73" i="1"/>
  <c r="AC73" i="1"/>
  <c r="AB73" i="1"/>
  <c r="W73" i="1"/>
  <c r="V73" i="1"/>
  <c r="T73" i="1"/>
  <c r="M73" i="1"/>
  <c r="AE72" i="1"/>
  <c r="AC72" i="1"/>
  <c r="AB72" i="1"/>
  <c r="W72" i="1"/>
  <c r="V72" i="1"/>
  <c r="AM72" i="1" s="1"/>
  <c r="T72" i="1"/>
  <c r="M72" i="1"/>
  <c r="AM71" i="1"/>
  <c r="AE71" i="1"/>
  <c r="AC71" i="1"/>
  <c r="AB71" i="1"/>
  <c r="W71" i="1"/>
  <c r="V71" i="1"/>
  <c r="T71" i="1"/>
  <c r="M71" i="1"/>
  <c r="AE70" i="1"/>
  <c r="AC70" i="1"/>
  <c r="AB70" i="1"/>
  <c r="W70" i="1"/>
  <c r="V70" i="1"/>
  <c r="AM70" i="1" s="1"/>
  <c r="T70" i="1"/>
  <c r="M70" i="1"/>
  <c r="AE69" i="1"/>
  <c r="AC69" i="1"/>
  <c r="AB69" i="1"/>
  <c r="W69" i="1"/>
  <c r="V69" i="1"/>
  <c r="AM69" i="1" s="1"/>
  <c r="T69" i="1"/>
  <c r="M69" i="1"/>
  <c r="AM68" i="1"/>
  <c r="AE68" i="1"/>
  <c r="AC68" i="1"/>
  <c r="AB68" i="1"/>
  <c r="W68" i="1"/>
  <c r="V68" i="1"/>
  <c r="T68" i="1"/>
  <c r="M68" i="1"/>
  <c r="AE67" i="1"/>
  <c r="AC67" i="1"/>
  <c r="AB67" i="1"/>
  <c r="W67" i="1"/>
  <c r="V67" i="1"/>
  <c r="AM67" i="1" s="1"/>
  <c r="T67" i="1"/>
  <c r="M67" i="1"/>
  <c r="AM66" i="1"/>
  <c r="AE66" i="1"/>
  <c r="AC66" i="1"/>
  <c r="AB66" i="1"/>
  <c r="W66" i="1"/>
  <c r="V66" i="1"/>
  <c r="T66" i="1"/>
  <c r="M66" i="1"/>
  <c r="AE65" i="1"/>
  <c r="AC65" i="1"/>
  <c r="AB65" i="1"/>
  <c r="W65" i="1"/>
  <c r="V65" i="1"/>
  <c r="AM65" i="1" s="1"/>
  <c r="T65" i="1"/>
  <c r="M65" i="1"/>
  <c r="AM64" i="1"/>
  <c r="AE64" i="1"/>
  <c r="AC64" i="1"/>
  <c r="AB64" i="1"/>
  <c r="W64" i="1"/>
  <c r="V64" i="1"/>
  <c r="T64" i="1"/>
  <c r="M64" i="1"/>
  <c r="AM63" i="1"/>
  <c r="AE63" i="1"/>
  <c r="AC63" i="1"/>
  <c r="AB63" i="1"/>
  <c r="W63" i="1"/>
  <c r="V63" i="1"/>
  <c r="T63" i="1"/>
  <c r="M63" i="1"/>
  <c r="AE62" i="1"/>
  <c r="AC62" i="1"/>
  <c r="AB62" i="1"/>
  <c r="W62" i="1"/>
  <c r="V62" i="1"/>
  <c r="AM62" i="1" s="1"/>
  <c r="T62" i="1"/>
  <c r="M62" i="1"/>
  <c r="AM61" i="1"/>
  <c r="AE61" i="1"/>
  <c r="AC61" i="1"/>
  <c r="AB61" i="1"/>
  <c r="W61" i="1"/>
  <c r="V61" i="1"/>
  <c r="T61" i="1"/>
  <c r="M61" i="1"/>
  <c r="AM60" i="1"/>
  <c r="AE60" i="1"/>
  <c r="AC60" i="1"/>
  <c r="AB60" i="1"/>
  <c r="W60" i="1"/>
  <c r="V60" i="1"/>
  <c r="T60" i="1"/>
  <c r="M60" i="1"/>
  <c r="AM59" i="1"/>
  <c r="AE59" i="1"/>
  <c r="AC59" i="1"/>
  <c r="AB59" i="1"/>
  <c r="W59" i="1"/>
  <c r="V59" i="1"/>
  <c r="T59" i="1"/>
  <c r="M59" i="1"/>
  <c r="AE58" i="1"/>
  <c r="AC58" i="1"/>
  <c r="AB58" i="1"/>
  <c r="W58" i="1"/>
  <c r="V58" i="1"/>
  <c r="AM58" i="1" s="1"/>
  <c r="T58" i="1"/>
  <c r="M58" i="1"/>
  <c r="AE57" i="1"/>
  <c r="AC57" i="1"/>
  <c r="AB57" i="1"/>
  <c r="W57" i="1"/>
  <c r="V57" i="1"/>
  <c r="AM57" i="1" s="1"/>
  <c r="T57" i="1"/>
  <c r="M57" i="1"/>
  <c r="AE56" i="1"/>
  <c r="AC56" i="1"/>
  <c r="AB56" i="1"/>
  <c r="W56" i="1"/>
  <c r="V56" i="1"/>
  <c r="AM56" i="1" s="1"/>
  <c r="T56" i="1"/>
  <c r="M56" i="1"/>
  <c r="AM55" i="1"/>
  <c r="AE55" i="1"/>
  <c r="AC55" i="1"/>
  <c r="AB55" i="1"/>
  <c r="W55" i="1"/>
  <c r="V55" i="1"/>
  <c r="T55" i="1"/>
  <c r="M55" i="1"/>
  <c r="AE54" i="1"/>
  <c r="AC54" i="1"/>
  <c r="AB54" i="1"/>
  <c r="W54" i="1"/>
  <c r="V54" i="1"/>
  <c r="AM54" i="1" s="1"/>
  <c r="T54" i="1"/>
  <c r="M54" i="1"/>
  <c r="AE53" i="1"/>
  <c r="AC53" i="1"/>
  <c r="AB53" i="1"/>
  <c r="W53" i="1"/>
  <c r="V53" i="1"/>
  <c r="AM53" i="1" s="1"/>
  <c r="T53" i="1"/>
  <c r="M53" i="1"/>
  <c r="AE52" i="1"/>
  <c r="AC52" i="1"/>
  <c r="AB52" i="1"/>
  <c r="W52" i="1"/>
  <c r="V52" i="1"/>
  <c r="AM52" i="1" s="1"/>
  <c r="T52" i="1"/>
  <c r="M52" i="1"/>
  <c r="AE51" i="1"/>
  <c r="AC51" i="1"/>
  <c r="AB51" i="1"/>
  <c r="W51" i="1"/>
  <c r="V51" i="1"/>
  <c r="AM51" i="1" s="1"/>
  <c r="T51" i="1"/>
  <c r="M51" i="1"/>
  <c r="AM50" i="1"/>
  <c r="AE50" i="1"/>
  <c r="AC50" i="1"/>
  <c r="AB50" i="1"/>
  <c r="W50" i="1"/>
  <c r="V50" i="1"/>
  <c r="T50" i="1"/>
  <c r="M50" i="1"/>
  <c r="AM49" i="1"/>
  <c r="AE49" i="1"/>
  <c r="AC49" i="1"/>
  <c r="AB49" i="1"/>
  <c r="W49" i="1"/>
  <c r="V49" i="1"/>
  <c r="T49" i="1"/>
  <c r="M49" i="1"/>
  <c r="AM48" i="1"/>
  <c r="AE48" i="1"/>
  <c r="AC48" i="1"/>
  <c r="AB48" i="1"/>
  <c r="W48" i="1"/>
  <c r="V48" i="1"/>
  <c r="T48" i="1"/>
  <c r="M48" i="1"/>
  <c r="AE47" i="1"/>
  <c r="AC47" i="1"/>
  <c r="AB47" i="1"/>
  <c r="W47" i="1"/>
  <c r="V47" i="1"/>
  <c r="AM47" i="1" s="1"/>
  <c r="T47" i="1"/>
  <c r="M47" i="1"/>
  <c r="AE46" i="1"/>
  <c r="AC46" i="1"/>
  <c r="AB46" i="1"/>
  <c r="W46" i="1"/>
  <c r="V46" i="1"/>
  <c r="AM46" i="1" s="1"/>
  <c r="T46" i="1"/>
  <c r="M46" i="1"/>
  <c r="AM45" i="1"/>
  <c r="AE45" i="1"/>
  <c r="AC45" i="1"/>
  <c r="AB45" i="1"/>
  <c r="W45" i="1"/>
  <c r="V45" i="1"/>
  <c r="T45" i="1"/>
  <c r="M45" i="1"/>
  <c r="AE44" i="1"/>
  <c r="AC44" i="1"/>
  <c r="AB44" i="1"/>
  <c r="W44" i="1"/>
  <c r="V44" i="1"/>
  <c r="AM44" i="1" s="1"/>
  <c r="T44" i="1"/>
  <c r="M44" i="1"/>
  <c r="AE43" i="1"/>
  <c r="AC43" i="1"/>
  <c r="AB43" i="1"/>
  <c r="W43" i="1"/>
  <c r="V43" i="1"/>
  <c r="AM43" i="1" s="1"/>
  <c r="T43" i="1"/>
  <c r="M43" i="1"/>
  <c r="AE42" i="1"/>
  <c r="AC42" i="1"/>
  <c r="AB42" i="1"/>
  <c r="W42" i="1"/>
  <c r="V42" i="1"/>
  <c r="AM42" i="1" s="1"/>
  <c r="T42" i="1"/>
  <c r="M42" i="1"/>
  <c r="AE41" i="1"/>
  <c r="AC41" i="1"/>
  <c r="AB41" i="1"/>
  <c r="W41" i="1"/>
  <c r="V41" i="1"/>
  <c r="AM41" i="1" s="1"/>
  <c r="T41" i="1"/>
  <c r="M41" i="1"/>
  <c r="AM40" i="1"/>
  <c r="AE40" i="1"/>
  <c r="AC40" i="1"/>
  <c r="AB40" i="1"/>
  <c r="W40" i="1"/>
  <c r="V40" i="1"/>
  <c r="T40" i="1"/>
  <c r="M40" i="1"/>
  <c r="AE39" i="1"/>
  <c r="AC39" i="1"/>
  <c r="AB39" i="1"/>
  <c r="W39" i="1"/>
  <c r="V39" i="1"/>
  <c r="AM39" i="1" s="1"/>
  <c r="T39" i="1"/>
  <c r="M39" i="1"/>
  <c r="AE38" i="1"/>
  <c r="AC38" i="1"/>
  <c r="AB38" i="1"/>
  <c r="W38" i="1"/>
  <c r="V38" i="1"/>
  <c r="AM38" i="1" s="1"/>
  <c r="T38" i="1"/>
  <c r="M38" i="1"/>
  <c r="AE37" i="1"/>
  <c r="AC37" i="1"/>
  <c r="AB37" i="1"/>
  <c r="W37" i="1"/>
  <c r="V37" i="1"/>
  <c r="AM37" i="1" s="1"/>
  <c r="T37" i="1"/>
  <c r="M37" i="1"/>
  <c r="AE36" i="1"/>
  <c r="AC36" i="1"/>
  <c r="AB36" i="1"/>
  <c r="W36" i="1"/>
  <c r="V36" i="1"/>
  <c r="AM36" i="1" s="1"/>
  <c r="T36" i="1"/>
  <c r="M36" i="1"/>
  <c r="AM35" i="1"/>
  <c r="AE35" i="1"/>
  <c r="AC35" i="1"/>
  <c r="AB35" i="1"/>
  <c r="W35" i="1"/>
  <c r="V35" i="1"/>
  <c r="T35" i="1"/>
  <c r="M35" i="1"/>
  <c r="AM34" i="1"/>
  <c r="AE34" i="1"/>
  <c r="AC34" i="1"/>
  <c r="AB34" i="1"/>
  <c r="W34" i="1"/>
  <c r="V34" i="1"/>
  <c r="T34" i="1"/>
  <c r="M34" i="1"/>
  <c r="AM33" i="1"/>
  <c r="AE33" i="1"/>
  <c r="AC33" i="1"/>
  <c r="AB33" i="1"/>
  <c r="W33" i="1"/>
  <c r="V33" i="1"/>
  <c r="T33" i="1"/>
  <c r="M33" i="1"/>
  <c r="AM32" i="1"/>
  <c r="AE32" i="1"/>
  <c r="AC32" i="1"/>
  <c r="AB32" i="1"/>
  <c r="W32" i="1"/>
  <c r="V32" i="1"/>
  <c r="T32" i="1"/>
  <c r="M32" i="1"/>
  <c r="AE31" i="1"/>
  <c r="AC31" i="1"/>
  <c r="AB31" i="1"/>
  <c r="W31" i="1"/>
  <c r="V31" i="1"/>
  <c r="AM31" i="1" s="1"/>
  <c r="T31" i="1"/>
  <c r="M31" i="1"/>
  <c r="AM30" i="1"/>
  <c r="AE30" i="1"/>
  <c r="AC30" i="1"/>
  <c r="AB30" i="1"/>
  <c r="W30" i="1"/>
  <c r="V30" i="1"/>
  <c r="T30" i="1"/>
  <c r="M30" i="1"/>
  <c r="AM29" i="1"/>
  <c r="AE29" i="1"/>
  <c r="AC29" i="1"/>
  <c r="AB29" i="1"/>
  <c r="R155" i="1" s="1"/>
  <c r="W29" i="1"/>
  <c r="M196" i="1" s="1"/>
  <c r="V29" i="1"/>
  <c r="T29" i="1"/>
  <c r="M29" i="1"/>
  <c r="D18" i="1"/>
  <c r="C18" i="1"/>
  <c r="R8" i="1" s="1"/>
  <c r="W12" i="1" s="1"/>
  <c r="B18" i="1"/>
  <c r="E17" i="1"/>
  <c r="G17" i="1" s="1"/>
  <c r="E16" i="1"/>
  <c r="G16" i="1" s="1"/>
  <c r="E15" i="1"/>
  <c r="G15" i="1" s="1"/>
  <c r="M14" i="1"/>
  <c r="O14" i="1" s="1"/>
  <c r="G14" i="1"/>
  <c r="E14" i="1"/>
  <c r="E13" i="1"/>
  <c r="G13" i="1" s="1"/>
  <c r="G12" i="1"/>
  <c r="E12" i="1"/>
  <c r="E11" i="1"/>
  <c r="G11" i="1" s="1"/>
  <c r="G10" i="1"/>
  <c r="E10" i="1"/>
  <c r="E9" i="1"/>
  <c r="X8" i="1"/>
  <c r="X12" i="1" s="1"/>
  <c r="L8" i="1"/>
  <c r="E8" i="1"/>
  <c r="K8" i="1" s="1"/>
  <c r="O8" i="1" s="1"/>
  <c r="R7" i="1"/>
  <c r="W11" i="1" s="1"/>
  <c r="L7" i="1"/>
  <c r="K7" i="1"/>
  <c r="E7" i="1"/>
  <c r="O6" i="1"/>
  <c r="E6" i="1"/>
  <c r="O5" i="1"/>
  <c r="E5" i="1"/>
  <c r="L4" i="1"/>
  <c r="L25" i="1" s="1"/>
  <c r="E4" i="1"/>
  <c r="O3" i="1"/>
  <c r="K3" i="1"/>
  <c r="E3" i="1"/>
  <c r="M26" i="1" l="1"/>
  <c r="O7" i="1"/>
  <c r="L26" i="1"/>
  <c r="R153" i="1"/>
  <c r="M7" i="1"/>
  <c r="R152" i="1"/>
  <c r="O4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58" i="1"/>
  <c r="R148" i="1"/>
  <c r="R157" i="1"/>
  <c r="R159" i="1"/>
  <c r="R149" i="1"/>
  <c r="R160" i="1"/>
  <c r="R150" i="1"/>
  <c r="R151" i="1"/>
  <c r="M153" i="1"/>
  <c r="M156" i="1"/>
  <c r="R161" i="1"/>
  <c r="M189" i="1"/>
  <c r="M191" i="1"/>
  <c r="R154" i="1"/>
  <c r="R156" i="1"/>
  <c r="M152" i="1"/>
  <c r="M161" i="1"/>
  <c r="M151" i="1"/>
  <c r="M197" i="1"/>
  <c r="M187" i="1"/>
  <c r="M154" i="1"/>
  <c r="M194" i="1"/>
  <c r="M184" i="1"/>
  <c r="M155" i="1"/>
  <c r="M188" i="1"/>
  <c r="M157" i="1"/>
  <c r="M195" i="1"/>
  <c r="M185" i="1"/>
  <c r="M158" i="1"/>
  <c r="M148" i="1"/>
  <c r="M150" i="1"/>
  <c r="M160" i="1"/>
  <c r="L10" i="1" l="1"/>
  <c r="L16" i="1"/>
  <c r="L11" i="1"/>
  <c r="L9" i="1"/>
  <c r="L12" i="1"/>
  <c r="L17" i="1"/>
  <c r="L15" i="1"/>
  <c r="L13" i="1"/>
  <c r="K11" i="1"/>
  <c r="K15" i="1"/>
  <c r="K13" i="1"/>
  <c r="K10" i="1"/>
  <c r="K16" i="1"/>
  <c r="K12" i="1"/>
  <c r="K17" i="1"/>
  <c r="M15" i="1"/>
  <c r="M12" i="1"/>
  <c r="M9" i="1"/>
  <c r="M16" i="1"/>
  <c r="M11" i="1"/>
  <c r="M17" i="1"/>
  <c r="M13" i="1"/>
  <c r="M10" i="1"/>
  <c r="M18" i="1" l="1"/>
  <c r="M21" i="1" s="1"/>
  <c r="O17" i="1"/>
  <c r="O12" i="1"/>
  <c r="O10" i="1"/>
  <c r="O13" i="1"/>
  <c r="O11" i="1"/>
  <c r="O9" i="1"/>
  <c r="K18" i="1"/>
  <c r="K20" i="1" s="1"/>
  <c r="L18" i="1"/>
  <c r="L20" i="1" s="1"/>
  <c r="O16" i="1"/>
  <c r="O15" i="1"/>
  <c r="R13" i="1" l="1"/>
  <c r="W18" i="1" s="1"/>
  <c r="O161" i="1" s="1"/>
  <c r="P161" i="1" s="1"/>
  <c r="Q161" i="1" s="1"/>
  <c r="R12" i="1"/>
  <c r="W17" i="1" s="1"/>
  <c r="R11" i="1"/>
  <c r="W16" i="1" s="1"/>
  <c r="O18" i="1"/>
  <c r="O151" i="1"/>
  <c r="P151" i="1" s="1"/>
  <c r="Q151" i="1" s="1"/>
  <c r="Y102" i="1"/>
  <c r="Z102" i="1" s="1"/>
  <c r="AA102" i="1" s="1"/>
  <c r="Y97" i="1"/>
  <c r="Z97" i="1" s="1"/>
  <c r="AA97" i="1" s="1"/>
  <c r="Y92" i="1"/>
  <c r="Z92" i="1" s="1"/>
  <c r="AA92" i="1" s="1"/>
  <c r="Y87" i="1"/>
  <c r="Z87" i="1" s="1"/>
  <c r="AA87" i="1" s="1"/>
  <c r="Y82" i="1"/>
  <c r="Z82" i="1" s="1"/>
  <c r="AA82" i="1" s="1"/>
  <c r="Y77" i="1"/>
  <c r="Z77" i="1" s="1"/>
  <c r="AA77" i="1" s="1"/>
  <c r="Y72" i="1"/>
  <c r="Z72" i="1" s="1"/>
  <c r="AA72" i="1" s="1"/>
  <c r="Y67" i="1"/>
  <c r="Z67" i="1" s="1"/>
  <c r="AA67" i="1" s="1"/>
  <c r="Y62" i="1"/>
  <c r="Z62" i="1" s="1"/>
  <c r="AA62" i="1" s="1"/>
  <c r="O160" i="1"/>
  <c r="P160" i="1" s="1"/>
  <c r="Q160" i="1" s="1"/>
  <c r="O150" i="1"/>
  <c r="P150" i="1" s="1"/>
  <c r="Q150" i="1" s="1"/>
  <c r="O197" i="1"/>
  <c r="P197" i="1" s="1"/>
  <c r="Q197" i="1" s="1"/>
  <c r="O196" i="1"/>
  <c r="P196" i="1" s="1"/>
  <c r="Q196" i="1" s="1"/>
  <c r="O195" i="1"/>
  <c r="P195" i="1" s="1"/>
  <c r="Q195" i="1" s="1"/>
  <c r="O194" i="1"/>
  <c r="P194" i="1" s="1"/>
  <c r="Q194" i="1" s="1"/>
  <c r="O193" i="1"/>
  <c r="P193" i="1" s="1"/>
  <c r="Q193" i="1" s="1"/>
  <c r="O192" i="1"/>
  <c r="P192" i="1" s="1"/>
  <c r="Q192" i="1" s="1"/>
  <c r="O191" i="1"/>
  <c r="P191" i="1" s="1"/>
  <c r="Q191" i="1" s="1"/>
  <c r="O190" i="1"/>
  <c r="P190" i="1" s="1"/>
  <c r="Q190" i="1" s="1"/>
  <c r="O189" i="1"/>
  <c r="P189" i="1" s="1"/>
  <c r="Q189" i="1" s="1"/>
  <c r="O188" i="1"/>
  <c r="P188" i="1" s="1"/>
  <c r="Q188" i="1" s="1"/>
  <c r="O187" i="1"/>
  <c r="P187" i="1" s="1"/>
  <c r="Q187" i="1" s="1"/>
  <c r="O186" i="1"/>
  <c r="P186" i="1" s="1"/>
  <c r="Q186" i="1" s="1"/>
  <c r="O185" i="1"/>
  <c r="P185" i="1" s="1"/>
  <c r="Q185" i="1" s="1"/>
  <c r="O184" i="1"/>
  <c r="P184" i="1" s="1"/>
  <c r="Q184" i="1" s="1"/>
  <c r="O155" i="1"/>
  <c r="P155" i="1" s="1"/>
  <c r="Q155" i="1" s="1"/>
  <c r="Y100" i="1"/>
  <c r="Z100" i="1" s="1"/>
  <c r="AA100" i="1" s="1"/>
  <c r="Y93" i="1"/>
  <c r="Z93" i="1" s="1"/>
  <c r="AA93" i="1" s="1"/>
  <c r="Y86" i="1"/>
  <c r="Z86" i="1" s="1"/>
  <c r="AA86" i="1" s="1"/>
  <c r="Y69" i="1"/>
  <c r="Z69" i="1" s="1"/>
  <c r="AA69" i="1" s="1"/>
  <c r="Y61" i="1"/>
  <c r="Z61" i="1" s="1"/>
  <c r="AA61" i="1" s="1"/>
  <c r="Y56" i="1"/>
  <c r="Z56" i="1" s="1"/>
  <c r="AA56" i="1" s="1"/>
  <c r="Y51" i="1"/>
  <c r="Z51" i="1" s="1"/>
  <c r="AA51" i="1" s="1"/>
  <c r="Y46" i="1"/>
  <c r="Z46" i="1" s="1"/>
  <c r="AA46" i="1" s="1"/>
  <c r="Y41" i="1"/>
  <c r="Z41" i="1" s="1"/>
  <c r="AA41" i="1" s="1"/>
  <c r="Y36" i="1"/>
  <c r="Z36" i="1" s="1"/>
  <c r="AA36" i="1" s="1"/>
  <c r="Y31" i="1"/>
  <c r="Z31" i="1" s="1"/>
  <c r="AA31" i="1" s="1"/>
  <c r="O156" i="1"/>
  <c r="P156" i="1" s="1"/>
  <c r="Q156" i="1" s="1"/>
  <c r="O158" i="1"/>
  <c r="P158" i="1" s="1"/>
  <c r="Q158" i="1" s="1"/>
  <c r="O148" i="1"/>
  <c r="P148" i="1" s="1"/>
  <c r="Q148" i="1" s="1"/>
  <c r="Y101" i="1"/>
  <c r="Z101" i="1" s="1"/>
  <c r="AA101" i="1" s="1"/>
  <c r="Y84" i="1"/>
  <c r="Z84" i="1" s="1"/>
  <c r="AA84" i="1" s="1"/>
  <c r="O159" i="1"/>
  <c r="P159" i="1" s="1"/>
  <c r="Q159" i="1" s="1"/>
  <c r="O149" i="1"/>
  <c r="P149" i="1" s="1"/>
  <c r="Q149" i="1" s="1"/>
  <c r="O152" i="1"/>
  <c r="P152" i="1" s="1"/>
  <c r="Q152" i="1" s="1"/>
  <c r="Y98" i="1"/>
  <c r="Z98" i="1" s="1"/>
  <c r="AA98" i="1" s="1"/>
  <c r="Y83" i="1"/>
  <c r="Z83" i="1" s="1"/>
  <c r="AA83" i="1" s="1"/>
  <c r="Y76" i="1"/>
  <c r="Z76" i="1" s="1"/>
  <c r="AA76" i="1" s="1"/>
  <c r="Y71" i="1"/>
  <c r="Z71" i="1" s="1"/>
  <c r="AA71" i="1" s="1"/>
  <c r="Y66" i="1"/>
  <c r="Z66" i="1" s="1"/>
  <c r="AA66" i="1" s="1"/>
  <c r="Y60" i="1"/>
  <c r="Z60" i="1" s="1"/>
  <c r="AA60" i="1" s="1"/>
  <c r="Y43" i="1"/>
  <c r="Z43" i="1" s="1"/>
  <c r="AA43" i="1" s="1"/>
  <c r="Y78" i="1"/>
  <c r="Z78" i="1" s="1"/>
  <c r="AA78" i="1" s="1"/>
  <c r="Y64" i="1"/>
  <c r="Z64" i="1" s="1"/>
  <c r="AA64" i="1" s="1"/>
  <c r="Y48" i="1"/>
  <c r="Z48" i="1" s="1"/>
  <c r="AA48" i="1" s="1"/>
  <c r="Y30" i="1"/>
  <c r="Z30" i="1" s="1"/>
  <c r="AA30" i="1" s="1"/>
  <c r="O153" i="1"/>
  <c r="P153" i="1" s="1"/>
  <c r="Q153" i="1" s="1"/>
  <c r="Y88" i="1"/>
  <c r="Z88" i="1" s="1"/>
  <c r="AA88" i="1" s="1"/>
  <c r="Y73" i="1"/>
  <c r="Z73" i="1" s="1"/>
  <c r="AA73" i="1" s="1"/>
  <c r="Y68" i="1"/>
  <c r="Z68" i="1" s="1"/>
  <c r="AA68" i="1" s="1"/>
  <c r="Y53" i="1"/>
  <c r="Z53" i="1" s="1"/>
  <c r="AA53" i="1" s="1"/>
  <c r="Y33" i="1"/>
  <c r="Z33" i="1" s="1"/>
  <c r="AA33" i="1" s="1"/>
  <c r="Y95" i="1"/>
  <c r="Z95" i="1" s="1"/>
  <c r="AA95" i="1" s="1"/>
  <c r="Y90" i="1"/>
  <c r="Z90" i="1" s="1"/>
  <c r="AA90" i="1" s="1"/>
  <c r="Y85" i="1"/>
  <c r="Z85" i="1" s="1"/>
  <c r="AA85" i="1" s="1"/>
  <c r="Y58" i="1"/>
  <c r="Z58" i="1" s="1"/>
  <c r="AA58" i="1" s="1"/>
  <c r="Y39" i="1"/>
  <c r="Z39" i="1" s="1"/>
  <c r="AA39" i="1" s="1"/>
  <c r="Y80" i="1"/>
  <c r="Z80" i="1" s="1"/>
  <c r="AA80" i="1" s="1"/>
  <c r="Y44" i="1"/>
  <c r="Z44" i="1" s="1"/>
  <c r="AA44" i="1" s="1"/>
  <c r="Y37" i="1"/>
  <c r="Z37" i="1" s="1"/>
  <c r="AA37" i="1" s="1"/>
  <c r="O154" i="1"/>
  <c r="P154" i="1" s="1"/>
  <c r="Q154" i="1" s="1"/>
  <c r="Y75" i="1"/>
  <c r="Z75" i="1" s="1"/>
  <c r="AA75" i="1" s="1"/>
  <c r="Y70" i="1"/>
  <c r="Z70" i="1" s="1"/>
  <c r="AA70" i="1" s="1"/>
  <c r="Y63" i="1"/>
  <c r="Z63" i="1" s="1"/>
  <c r="AA63" i="1" s="1"/>
  <c r="Y49" i="1"/>
  <c r="Z49" i="1" s="1"/>
  <c r="AA49" i="1" s="1"/>
  <c r="Y42" i="1"/>
  <c r="Z42" i="1" s="1"/>
  <c r="AA42" i="1" s="1"/>
  <c r="Y34" i="1"/>
  <c r="Z34" i="1" s="1"/>
  <c r="AA34" i="1" s="1"/>
  <c r="O157" i="1"/>
  <c r="P157" i="1" s="1"/>
  <c r="Q157" i="1" s="1"/>
  <c r="Y94" i="1"/>
  <c r="Z94" i="1" s="1"/>
  <c r="AA94" i="1" s="1"/>
  <c r="Y65" i="1"/>
  <c r="Z65" i="1" s="1"/>
  <c r="AA65" i="1" s="1"/>
  <c r="Y54" i="1"/>
  <c r="Z54" i="1" s="1"/>
  <c r="AA54" i="1" s="1"/>
  <c r="Y47" i="1"/>
  <c r="Z47" i="1" s="1"/>
  <c r="AA47" i="1" s="1"/>
  <c r="Y40" i="1"/>
  <c r="Z40" i="1" s="1"/>
  <c r="AA40" i="1" s="1"/>
  <c r="Y91" i="1"/>
  <c r="Z91" i="1" s="1"/>
  <c r="AA91" i="1" s="1"/>
  <c r="Y79" i="1"/>
  <c r="Z79" i="1" s="1"/>
  <c r="AA79" i="1" s="1"/>
  <c r="Y59" i="1"/>
  <c r="Z59" i="1" s="1"/>
  <c r="AA59" i="1" s="1"/>
  <c r="Y52" i="1"/>
  <c r="Z52" i="1" s="1"/>
  <c r="AA52" i="1" s="1"/>
  <c r="Y45" i="1"/>
  <c r="Z45" i="1" s="1"/>
  <c r="AA45" i="1" s="1"/>
  <c r="Y35" i="1"/>
  <c r="Z35" i="1" s="1"/>
  <c r="AA35" i="1" s="1"/>
  <c r="Y99" i="1"/>
  <c r="Z99" i="1" s="1"/>
  <c r="AA99" i="1" s="1"/>
  <c r="Y96" i="1"/>
  <c r="Z96" i="1" s="1"/>
  <c r="AA96" i="1" s="1"/>
  <c r="Y89" i="1"/>
  <c r="Z89" i="1" s="1"/>
  <c r="AA89" i="1" s="1"/>
  <c r="Y57" i="1"/>
  <c r="Z57" i="1" s="1"/>
  <c r="AA57" i="1" s="1"/>
  <c r="Y50" i="1"/>
  <c r="Z50" i="1" s="1"/>
  <c r="AA50" i="1" s="1"/>
  <c r="Y32" i="1"/>
  <c r="Z32" i="1" s="1"/>
  <c r="AA32" i="1" s="1"/>
  <c r="Y81" i="1"/>
  <c r="Z81" i="1" s="1"/>
  <c r="AA81" i="1" s="1"/>
  <c r="Y74" i="1"/>
  <c r="Z74" i="1" s="1"/>
  <c r="AA74" i="1" s="1"/>
  <c r="Y55" i="1"/>
  <c r="Z55" i="1" s="1"/>
  <c r="AA55" i="1" s="1"/>
  <c r="Y38" i="1"/>
  <c r="Z38" i="1" s="1"/>
  <c r="AA38" i="1" s="1"/>
  <c r="Y29" i="1"/>
  <c r="Z29" i="1" s="1"/>
  <c r="AA29" i="1" s="1"/>
  <c r="Q99" i="1" l="1"/>
  <c r="R99" i="1" s="1"/>
  <c r="S99" i="1" s="1"/>
  <c r="AD99" i="1" s="1"/>
  <c r="AF99" i="1" s="1"/>
  <c r="Q94" i="1"/>
  <c r="R94" i="1" s="1"/>
  <c r="S94" i="1" s="1"/>
  <c r="AD94" i="1" s="1"/>
  <c r="AF94" i="1" s="1"/>
  <c r="Q89" i="1"/>
  <c r="R89" i="1" s="1"/>
  <c r="S89" i="1" s="1"/>
  <c r="AD89" i="1" s="1"/>
  <c r="AF89" i="1" s="1"/>
  <c r="Q84" i="1"/>
  <c r="R84" i="1" s="1"/>
  <c r="S84" i="1" s="1"/>
  <c r="AD84" i="1" s="1"/>
  <c r="AF84" i="1" s="1"/>
  <c r="Q79" i="1"/>
  <c r="R79" i="1" s="1"/>
  <c r="S79" i="1" s="1"/>
  <c r="AD79" i="1" s="1"/>
  <c r="AF79" i="1" s="1"/>
  <c r="Q74" i="1"/>
  <c r="R74" i="1" s="1"/>
  <c r="S74" i="1" s="1"/>
  <c r="AD74" i="1" s="1"/>
  <c r="AF74" i="1" s="1"/>
  <c r="Q69" i="1"/>
  <c r="R69" i="1" s="1"/>
  <c r="S69" i="1" s="1"/>
  <c r="AD69" i="1" s="1"/>
  <c r="AF69" i="1" s="1"/>
  <c r="Q64" i="1"/>
  <c r="R64" i="1" s="1"/>
  <c r="S64" i="1" s="1"/>
  <c r="AD64" i="1" s="1"/>
  <c r="AF64" i="1" s="1"/>
  <c r="Q87" i="1"/>
  <c r="R87" i="1" s="1"/>
  <c r="S87" i="1" s="1"/>
  <c r="AD87" i="1" s="1"/>
  <c r="AF87" i="1" s="1"/>
  <c r="Q80" i="1"/>
  <c r="R80" i="1" s="1"/>
  <c r="S80" i="1" s="1"/>
  <c r="AD80" i="1" s="1"/>
  <c r="AF80" i="1" s="1"/>
  <c r="Q58" i="1"/>
  <c r="R58" i="1" s="1"/>
  <c r="S58" i="1" s="1"/>
  <c r="AD58" i="1" s="1"/>
  <c r="AF58" i="1" s="1"/>
  <c r="Q53" i="1"/>
  <c r="R53" i="1" s="1"/>
  <c r="S53" i="1" s="1"/>
  <c r="AD53" i="1" s="1"/>
  <c r="AF53" i="1" s="1"/>
  <c r="Q48" i="1"/>
  <c r="R48" i="1" s="1"/>
  <c r="S48" i="1" s="1"/>
  <c r="AD48" i="1" s="1"/>
  <c r="AF48" i="1" s="1"/>
  <c r="Q43" i="1"/>
  <c r="R43" i="1" s="1"/>
  <c r="S43" i="1" s="1"/>
  <c r="AD43" i="1" s="1"/>
  <c r="AF43" i="1" s="1"/>
  <c r="Q38" i="1"/>
  <c r="R38" i="1" s="1"/>
  <c r="S38" i="1" s="1"/>
  <c r="AD38" i="1" s="1"/>
  <c r="AF38" i="1" s="1"/>
  <c r="Q33" i="1"/>
  <c r="R33" i="1" s="1"/>
  <c r="S33" i="1" s="1"/>
  <c r="AD33" i="1" s="1"/>
  <c r="AF33" i="1" s="1"/>
  <c r="Q102" i="1"/>
  <c r="R102" i="1" s="1"/>
  <c r="S102" i="1" s="1"/>
  <c r="AD102" i="1" s="1"/>
  <c r="AF102" i="1" s="1"/>
  <c r="Q95" i="1"/>
  <c r="R95" i="1" s="1"/>
  <c r="S95" i="1" s="1"/>
  <c r="AD95" i="1" s="1"/>
  <c r="AF95" i="1" s="1"/>
  <c r="Q78" i="1"/>
  <c r="R78" i="1" s="1"/>
  <c r="S78" i="1" s="1"/>
  <c r="AD78" i="1" s="1"/>
  <c r="AF78" i="1" s="1"/>
  <c r="Q71" i="1"/>
  <c r="R71" i="1" s="1"/>
  <c r="S71" i="1" s="1"/>
  <c r="AD71" i="1" s="1"/>
  <c r="AF71" i="1" s="1"/>
  <c r="Q63" i="1"/>
  <c r="R63" i="1" s="1"/>
  <c r="S63" i="1" s="1"/>
  <c r="AD63" i="1" s="1"/>
  <c r="AF63" i="1" s="1"/>
  <c r="Q100" i="1"/>
  <c r="R100" i="1" s="1"/>
  <c r="S100" i="1" s="1"/>
  <c r="AD100" i="1" s="1"/>
  <c r="AF100" i="1" s="1"/>
  <c r="Q67" i="1"/>
  <c r="R67" i="1" s="1"/>
  <c r="S67" i="1" s="1"/>
  <c r="AD67" i="1" s="1"/>
  <c r="AF67" i="1" s="1"/>
  <c r="Q61" i="1"/>
  <c r="R61" i="1" s="1"/>
  <c r="S61" i="1" s="1"/>
  <c r="AD61" i="1" s="1"/>
  <c r="AF61" i="1" s="1"/>
  <c r="Q49" i="1"/>
  <c r="R49" i="1" s="1"/>
  <c r="S49" i="1" s="1"/>
  <c r="AD49" i="1" s="1"/>
  <c r="AF49" i="1" s="1"/>
  <c r="Q37" i="1"/>
  <c r="R37" i="1" s="1"/>
  <c r="S37" i="1" s="1"/>
  <c r="AD37" i="1" s="1"/>
  <c r="AF37" i="1" s="1"/>
  <c r="Q34" i="1"/>
  <c r="R34" i="1" s="1"/>
  <c r="S34" i="1" s="1"/>
  <c r="AD34" i="1" s="1"/>
  <c r="AF34" i="1" s="1"/>
  <c r="Q31" i="1"/>
  <c r="R31" i="1" s="1"/>
  <c r="S31" i="1" s="1"/>
  <c r="AD31" i="1" s="1"/>
  <c r="AF31" i="1" s="1"/>
  <c r="Q77" i="1"/>
  <c r="R77" i="1" s="1"/>
  <c r="S77" i="1" s="1"/>
  <c r="AD77" i="1" s="1"/>
  <c r="AF77" i="1" s="1"/>
  <c r="Q72" i="1"/>
  <c r="R72" i="1" s="1"/>
  <c r="S72" i="1" s="1"/>
  <c r="AD72" i="1" s="1"/>
  <c r="AF72" i="1" s="1"/>
  <c r="Q65" i="1"/>
  <c r="R65" i="1" s="1"/>
  <c r="S65" i="1" s="1"/>
  <c r="AD65" i="1" s="1"/>
  <c r="AF65" i="1" s="1"/>
  <c r="Q54" i="1"/>
  <c r="R54" i="1" s="1"/>
  <c r="S54" i="1" s="1"/>
  <c r="AD54" i="1" s="1"/>
  <c r="AF54" i="1" s="1"/>
  <c r="Q42" i="1"/>
  <c r="R42" i="1" s="1"/>
  <c r="S42" i="1" s="1"/>
  <c r="AD42" i="1" s="1"/>
  <c r="AF42" i="1" s="1"/>
  <c r="Q40" i="1"/>
  <c r="R40" i="1" s="1"/>
  <c r="S40" i="1" s="1"/>
  <c r="AD40" i="1" s="1"/>
  <c r="AF40" i="1" s="1"/>
  <c r="Q59" i="1"/>
  <c r="R59" i="1" s="1"/>
  <c r="S59" i="1" s="1"/>
  <c r="AD59" i="1" s="1"/>
  <c r="AF59" i="1" s="1"/>
  <c r="Q47" i="1"/>
  <c r="R47" i="1" s="1"/>
  <c r="S47" i="1" s="1"/>
  <c r="AD47" i="1" s="1"/>
  <c r="AF47" i="1" s="1"/>
  <c r="Q45" i="1"/>
  <c r="R45" i="1" s="1"/>
  <c r="S45" i="1" s="1"/>
  <c r="AD45" i="1" s="1"/>
  <c r="AF45" i="1" s="1"/>
  <c r="W20" i="1"/>
  <c r="Q91" i="1"/>
  <c r="R91" i="1" s="1"/>
  <c r="S91" i="1" s="1"/>
  <c r="Q86" i="1"/>
  <c r="R86" i="1" s="1"/>
  <c r="S86" i="1" s="1"/>
  <c r="AD86" i="1" s="1"/>
  <c r="AF86" i="1" s="1"/>
  <c r="Q52" i="1"/>
  <c r="R52" i="1" s="1"/>
  <c r="S52" i="1" s="1"/>
  <c r="AD52" i="1" s="1"/>
  <c r="AF52" i="1" s="1"/>
  <c r="Q50" i="1"/>
  <c r="R50" i="1" s="1"/>
  <c r="S50" i="1" s="1"/>
  <c r="AD50" i="1" s="1"/>
  <c r="AF50" i="1" s="1"/>
  <c r="Q35" i="1"/>
  <c r="R35" i="1" s="1"/>
  <c r="S35" i="1" s="1"/>
  <c r="AD35" i="1" s="1"/>
  <c r="AF35" i="1" s="1"/>
  <c r="Q96" i="1"/>
  <c r="R96" i="1" s="1"/>
  <c r="S96" i="1" s="1"/>
  <c r="AD96" i="1" s="1"/>
  <c r="AF96" i="1" s="1"/>
  <c r="Q93" i="1"/>
  <c r="R93" i="1" s="1"/>
  <c r="S93" i="1" s="1"/>
  <c r="AD93" i="1" s="1"/>
  <c r="AF93" i="1" s="1"/>
  <c r="Q81" i="1"/>
  <c r="R81" i="1" s="1"/>
  <c r="S81" i="1" s="1"/>
  <c r="AD81" i="1" s="1"/>
  <c r="AF81" i="1" s="1"/>
  <c r="Q57" i="1"/>
  <c r="R57" i="1" s="1"/>
  <c r="S57" i="1" s="1"/>
  <c r="AD57" i="1" s="1"/>
  <c r="AF57" i="1" s="1"/>
  <c r="Q55" i="1"/>
  <c r="R55" i="1" s="1"/>
  <c r="S55" i="1" s="1"/>
  <c r="AD55" i="1" s="1"/>
  <c r="AF55" i="1" s="1"/>
  <c r="Q32" i="1"/>
  <c r="R32" i="1" s="1"/>
  <c r="S32" i="1" s="1"/>
  <c r="AD32" i="1" s="1"/>
  <c r="AF32" i="1" s="1"/>
  <c r="Q29" i="1"/>
  <c r="R29" i="1" s="1"/>
  <c r="S29" i="1" s="1"/>
  <c r="AD29" i="1" s="1"/>
  <c r="AF29" i="1" s="1"/>
  <c r="Q83" i="1"/>
  <c r="R83" i="1" s="1"/>
  <c r="S83" i="1" s="1"/>
  <c r="AD83" i="1" s="1"/>
  <c r="AF83" i="1" s="1"/>
  <c r="Q76" i="1"/>
  <c r="R76" i="1" s="1"/>
  <c r="S76" i="1" s="1"/>
  <c r="AD76" i="1" s="1"/>
  <c r="AF76" i="1" s="1"/>
  <c r="Q66" i="1"/>
  <c r="R66" i="1" s="1"/>
  <c r="S66" i="1" s="1"/>
  <c r="AD66" i="1" s="1"/>
  <c r="AF66" i="1" s="1"/>
  <c r="Q62" i="1"/>
  <c r="R62" i="1" s="1"/>
  <c r="S62" i="1" s="1"/>
  <c r="AD62" i="1" s="1"/>
  <c r="AF62" i="1" s="1"/>
  <c r="Q60" i="1"/>
  <c r="R60" i="1" s="1"/>
  <c r="S60" i="1" s="1"/>
  <c r="AD60" i="1" s="1"/>
  <c r="AF60" i="1" s="1"/>
  <c r="Q98" i="1"/>
  <c r="R98" i="1" s="1"/>
  <c r="S98" i="1" s="1"/>
  <c r="AD98" i="1" s="1"/>
  <c r="AF98" i="1" s="1"/>
  <c r="Q41" i="1"/>
  <c r="R41" i="1" s="1"/>
  <c r="S41" i="1" s="1"/>
  <c r="AD41" i="1" s="1"/>
  <c r="AF41" i="1" s="1"/>
  <c r="Q36" i="1"/>
  <c r="R36" i="1" s="1"/>
  <c r="S36" i="1" s="1"/>
  <c r="AD36" i="1" s="1"/>
  <c r="AF36" i="1" s="1"/>
  <c r="Q90" i="1"/>
  <c r="R90" i="1" s="1"/>
  <c r="S90" i="1" s="1"/>
  <c r="Q88" i="1"/>
  <c r="R88" i="1" s="1"/>
  <c r="S88" i="1" s="1"/>
  <c r="AD88" i="1" s="1"/>
  <c r="AF88" i="1" s="1"/>
  <c r="Q85" i="1"/>
  <c r="R85" i="1" s="1"/>
  <c r="S85" i="1" s="1"/>
  <c r="AD85" i="1" s="1"/>
  <c r="AF85" i="1" s="1"/>
  <c r="Q73" i="1"/>
  <c r="R73" i="1" s="1"/>
  <c r="S73" i="1" s="1"/>
  <c r="AD73" i="1" s="1"/>
  <c r="AF73" i="1" s="1"/>
  <c r="Q68" i="1"/>
  <c r="R68" i="1" s="1"/>
  <c r="S68" i="1" s="1"/>
  <c r="AD68" i="1" s="1"/>
  <c r="AF68" i="1" s="1"/>
  <c r="Q46" i="1"/>
  <c r="R46" i="1" s="1"/>
  <c r="S46" i="1" s="1"/>
  <c r="AD46" i="1" s="1"/>
  <c r="AF46" i="1" s="1"/>
  <c r="Q30" i="1"/>
  <c r="R30" i="1" s="1"/>
  <c r="S30" i="1" s="1"/>
  <c r="AD30" i="1" s="1"/>
  <c r="AF30" i="1" s="1"/>
  <c r="Q101" i="1"/>
  <c r="R101" i="1" s="1"/>
  <c r="S101" i="1" s="1"/>
  <c r="AD101" i="1" s="1"/>
  <c r="AF101" i="1" s="1"/>
  <c r="Q92" i="1"/>
  <c r="R92" i="1" s="1"/>
  <c r="S92" i="1" s="1"/>
  <c r="AD92" i="1" s="1"/>
  <c r="AF92" i="1" s="1"/>
  <c r="Q51" i="1"/>
  <c r="R51" i="1" s="1"/>
  <c r="S51" i="1" s="1"/>
  <c r="AD51" i="1" s="1"/>
  <c r="AF51" i="1" s="1"/>
  <c r="Q39" i="1"/>
  <c r="R39" i="1" s="1"/>
  <c r="S39" i="1" s="1"/>
  <c r="AD39" i="1" s="1"/>
  <c r="AF39" i="1" s="1"/>
  <c r="Q97" i="1"/>
  <c r="R97" i="1" s="1"/>
  <c r="S97" i="1" s="1"/>
  <c r="AD97" i="1" s="1"/>
  <c r="AF97" i="1" s="1"/>
  <c r="Q82" i="1"/>
  <c r="R82" i="1" s="1"/>
  <c r="S82" i="1" s="1"/>
  <c r="AD82" i="1" s="1"/>
  <c r="AF82" i="1" s="1"/>
  <c r="Q75" i="1"/>
  <c r="R75" i="1" s="1"/>
  <c r="S75" i="1" s="1"/>
  <c r="AD75" i="1" s="1"/>
  <c r="AF75" i="1" s="1"/>
  <c r="Q70" i="1"/>
  <c r="R70" i="1" s="1"/>
  <c r="S70" i="1" s="1"/>
  <c r="AD70" i="1" s="1"/>
  <c r="AF70" i="1" s="1"/>
  <c r="Q56" i="1"/>
  <c r="R56" i="1" s="1"/>
  <c r="S56" i="1" s="1"/>
  <c r="AD56" i="1" s="1"/>
  <c r="AF56" i="1" s="1"/>
  <c r="Q44" i="1"/>
  <c r="R44" i="1" s="1"/>
  <c r="S44" i="1" s="1"/>
  <c r="AD44" i="1" s="1"/>
  <c r="AF44" i="1" s="1"/>
  <c r="F157" i="1"/>
  <c r="F177" i="1"/>
  <c r="F172" i="1"/>
  <c r="F167" i="1"/>
  <c r="F156" i="1"/>
  <c r="F179" i="1"/>
  <c r="F174" i="1"/>
  <c r="F169" i="1"/>
  <c r="F192" i="1"/>
  <c r="F175" i="1"/>
  <c r="F171" i="1"/>
  <c r="F159" i="1"/>
  <c r="F149" i="1"/>
  <c r="F189" i="1"/>
  <c r="F178" i="1"/>
  <c r="F160" i="1"/>
  <c r="F150" i="1"/>
  <c r="F193" i="1"/>
  <c r="F154" i="1"/>
  <c r="F153" i="1"/>
  <c r="F152" i="1"/>
  <c r="F190" i="1"/>
  <c r="F170" i="1"/>
  <c r="F166" i="1"/>
  <c r="F155" i="1"/>
  <c r="F195" i="1"/>
  <c r="F173" i="1"/>
  <c r="F168" i="1"/>
  <c r="F197" i="1"/>
  <c r="F186" i="1"/>
  <c r="F188" i="1"/>
  <c r="F194" i="1"/>
  <c r="F196" i="1"/>
  <c r="F176" i="1"/>
  <c r="F158" i="1"/>
  <c r="F148" i="1"/>
  <c r="F187" i="1"/>
  <c r="F185" i="1"/>
  <c r="F191" i="1"/>
  <c r="F161" i="1"/>
  <c r="F151" i="1"/>
  <c r="F184" i="1"/>
  <c r="AD91" i="1"/>
  <c r="AF91" i="1" s="1"/>
  <c r="AD90" i="1"/>
  <c r="AF90" i="1" s="1"/>
  <c r="J148" i="1" l="1"/>
  <c r="H148" i="1"/>
  <c r="I148" i="1" s="1"/>
  <c r="J195" i="1"/>
  <c r="H195" i="1"/>
  <c r="I195" i="1" s="1"/>
  <c r="H160" i="1"/>
  <c r="I160" i="1" s="1"/>
  <c r="J160" i="1"/>
  <c r="J179" i="1"/>
  <c r="H179" i="1"/>
  <c r="I179" i="1" s="1"/>
  <c r="H156" i="1"/>
  <c r="I156" i="1" s="1"/>
  <c r="J156" i="1"/>
  <c r="J158" i="1"/>
  <c r="H158" i="1"/>
  <c r="I158" i="1" s="1"/>
  <c r="H166" i="1"/>
  <c r="I166" i="1" s="1"/>
  <c r="J166" i="1"/>
  <c r="H172" i="1"/>
  <c r="I172" i="1" s="1"/>
  <c r="J172" i="1"/>
  <c r="J190" i="1"/>
  <c r="H190" i="1"/>
  <c r="I190" i="1" s="1"/>
  <c r="H155" i="1"/>
  <c r="I155" i="1" s="1"/>
  <c r="J155" i="1"/>
  <c r="H167" i="1"/>
  <c r="I167" i="1" s="1"/>
  <c r="J167" i="1"/>
  <c r="J194" i="1"/>
  <c r="H194" i="1"/>
  <c r="I194" i="1" s="1"/>
  <c r="H186" i="1"/>
  <c r="I186" i="1" s="1"/>
  <c r="J186" i="1"/>
  <c r="J153" i="1"/>
  <c r="H153" i="1"/>
  <c r="I153" i="1" s="1"/>
  <c r="J175" i="1"/>
  <c r="H175" i="1"/>
  <c r="I175" i="1" s="1"/>
  <c r="J176" i="1"/>
  <c r="H176" i="1"/>
  <c r="I176" i="1" s="1"/>
  <c r="H196" i="1"/>
  <c r="I196" i="1" s="1"/>
  <c r="J196" i="1"/>
  <c r="H177" i="1"/>
  <c r="I177" i="1" s="1"/>
  <c r="J177" i="1"/>
  <c r="H178" i="1"/>
  <c r="I178" i="1" s="1"/>
  <c r="J178" i="1"/>
  <c r="J149" i="1"/>
  <c r="H149" i="1"/>
  <c r="I149" i="1" s="1"/>
  <c r="H151" i="1"/>
  <c r="I151" i="1" s="1"/>
  <c r="J151" i="1"/>
  <c r="J152" i="1"/>
  <c r="H152" i="1"/>
  <c r="I152" i="1" s="1"/>
  <c r="H157" i="1"/>
  <c r="I157" i="1" s="1"/>
  <c r="J157" i="1"/>
  <c r="J197" i="1"/>
  <c r="H197" i="1"/>
  <c r="I197" i="1" s="1"/>
  <c r="J185" i="1"/>
  <c r="H185" i="1"/>
  <c r="I185" i="1" s="1"/>
  <c r="J168" i="1"/>
  <c r="H168" i="1"/>
  <c r="I168" i="1" s="1"/>
  <c r="J193" i="1"/>
  <c r="H193" i="1"/>
  <c r="I193" i="1" s="1"/>
  <c r="J169" i="1"/>
  <c r="H169" i="1"/>
  <c r="I169" i="1" s="1"/>
  <c r="H189" i="1"/>
  <c r="I189" i="1" s="1"/>
  <c r="J189" i="1"/>
  <c r="J170" i="1"/>
  <c r="H170" i="1"/>
  <c r="I170" i="1" s="1"/>
  <c r="J184" i="1"/>
  <c r="H184" i="1"/>
  <c r="I184" i="1" s="1"/>
  <c r="J159" i="1"/>
  <c r="H159" i="1"/>
  <c r="I159" i="1" s="1"/>
  <c r="H188" i="1"/>
  <c r="I188" i="1" s="1"/>
  <c r="J188" i="1"/>
  <c r="J171" i="1"/>
  <c r="H171" i="1"/>
  <c r="I171" i="1" s="1"/>
  <c r="J161" i="1"/>
  <c r="H161" i="1"/>
  <c r="I161" i="1" s="1"/>
  <c r="J191" i="1"/>
  <c r="H191" i="1"/>
  <c r="I191" i="1" s="1"/>
  <c r="J154" i="1"/>
  <c r="H154" i="1"/>
  <c r="I154" i="1" s="1"/>
  <c r="J192" i="1"/>
  <c r="H192" i="1"/>
  <c r="I192" i="1" s="1"/>
  <c r="H187" i="1"/>
  <c r="I187" i="1" s="1"/>
  <c r="J187" i="1"/>
  <c r="H173" i="1"/>
  <c r="I173" i="1" s="1"/>
  <c r="J173" i="1"/>
  <c r="H150" i="1"/>
  <c r="I150" i="1" s="1"/>
  <c r="J150" i="1"/>
  <c r="J174" i="1"/>
  <c r="H174" i="1"/>
  <c r="I174" i="1" s="1"/>
  <c r="AI55" i="1" l="1"/>
  <c r="AI57" i="1"/>
  <c r="AI58" i="1"/>
  <c r="AI56" i="1"/>
  <c r="AI81" i="1"/>
  <c r="AI84" i="1"/>
  <c r="AI83" i="1"/>
  <c r="AI82" i="1"/>
  <c r="AI71" i="1"/>
  <c r="AI73" i="1"/>
  <c r="AI74" i="1"/>
  <c r="AI67" i="1"/>
  <c r="AI69" i="1"/>
  <c r="AI68" i="1"/>
  <c r="AI72" i="1"/>
  <c r="AI70" i="1"/>
  <c r="AI61" i="1"/>
  <c r="AI60" i="1"/>
  <c r="AI62" i="1"/>
  <c r="AI59" i="1"/>
  <c r="AI101" i="1"/>
  <c r="AI102" i="1"/>
  <c r="AI96" i="1"/>
  <c r="AI100" i="1"/>
  <c r="AI99" i="1"/>
  <c r="AI98" i="1"/>
  <c r="AI95" i="1"/>
  <c r="AI97" i="1"/>
  <c r="AI50" i="1"/>
  <c r="AI52" i="1"/>
  <c r="AI53" i="1"/>
  <c r="AI51" i="1"/>
  <c r="AI49" i="1"/>
  <c r="AI54" i="1"/>
  <c r="AI91" i="1"/>
  <c r="AI94" i="1"/>
  <c r="AI93" i="1"/>
  <c r="AI92" i="1"/>
  <c r="AI66" i="1"/>
  <c r="AI63" i="1"/>
  <c r="AI64" i="1"/>
  <c r="AI65" i="1"/>
  <c r="AI76" i="1"/>
  <c r="AI79" i="1"/>
  <c r="AI78" i="1"/>
  <c r="AI80" i="1"/>
  <c r="AI77" i="1"/>
  <c r="AI75" i="1"/>
  <c r="AJ102" i="1"/>
  <c r="AJ97" i="1"/>
  <c r="AJ92" i="1"/>
  <c r="AJ87" i="1"/>
  <c r="AJ82" i="1"/>
  <c r="AJ77" i="1"/>
  <c r="AJ72" i="1"/>
  <c r="AJ67" i="1"/>
  <c r="AJ90" i="1"/>
  <c r="AJ78" i="1"/>
  <c r="AJ71" i="1"/>
  <c r="AJ93" i="1"/>
  <c r="AJ86" i="1"/>
  <c r="AJ79" i="1"/>
  <c r="AJ57" i="1"/>
  <c r="AJ52" i="1"/>
  <c r="AJ47" i="1"/>
  <c r="AJ42" i="1"/>
  <c r="AJ37" i="1"/>
  <c r="AJ98" i="1"/>
  <c r="AJ100" i="1"/>
  <c r="AJ89" i="1"/>
  <c r="AJ45" i="1"/>
  <c r="AJ32" i="1"/>
  <c r="AJ29" i="1"/>
  <c r="AJ99" i="1"/>
  <c r="AJ91" i="1"/>
  <c r="AJ69" i="1"/>
  <c r="AJ50" i="1"/>
  <c r="AJ38" i="1"/>
  <c r="AJ96" i="1"/>
  <c r="AJ81" i="1"/>
  <c r="AJ74" i="1"/>
  <c r="AJ62" i="1"/>
  <c r="AJ55" i="1"/>
  <c r="AJ43" i="1"/>
  <c r="AJ36" i="1"/>
  <c r="AJ66" i="1"/>
  <c r="AJ60" i="1"/>
  <c r="AJ48" i="1"/>
  <c r="AJ41" i="1"/>
  <c r="AJ33" i="1"/>
  <c r="AJ30" i="1"/>
  <c r="AJ83" i="1"/>
  <c r="AJ76" i="1"/>
  <c r="AJ64" i="1"/>
  <c r="AJ53" i="1"/>
  <c r="AJ46" i="1"/>
  <c r="AJ39" i="1"/>
  <c r="AJ58" i="1"/>
  <c r="AJ51" i="1"/>
  <c r="AJ44" i="1"/>
  <c r="AJ95" i="1"/>
  <c r="AJ88" i="1"/>
  <c r="AJ85" i="1"/>
  <c r="AJ68" i="1"/>
  <c r="AJ56" i="1"/>
  <c r="AJ49" i="1"/>
  <c r="AJ34" i="1"/>
  <c r="AJ31" i="1"/>
  <c r="AJ101" i="1"/>
  <c r="AJ80" i="1"/>
  <c r="AJ73" i="1"/>
  <c r="AJ54" i="1"/>
  <c r="AJ75" i="1"/>
  <c r="AJ70" i="1"/>
  <c r="AJ65" i="1"/>
  <c r="AJ61" i="1"/>
  <c r="AJ59" i="1"/>
  <c r="AJ94" i="1"/>
  <c r="AJ84" i="1"/>
  <c r="AJ63" i="1"/>
  <c r="AJ40" i="1"/>
  <c r="AJ35" i="1"/>
  <c r="AI30" i="1"/>
  <c r="AI32" i="1"/>
  <c r="AI29" i="1"/>
  <c r="AI33" i="1"/>
  <c r="AI34" i="1"/>
  <c r="AI31" i="1"/>
  <c r="AI45" i="1"/>
  <c r="AI43" i="1"/>
  <c r="AI48" i="1"/>
  <c r="AI41" i="1"/>
  <c r="AI46" i="1"/>
  <c r="AI44" i="1"/>
  <c r="AI42" i="1"/>
  <c r="AI47" i="1"/>
  <c r="AI86" i="1"/>
  <c r="AI85" i="1"/>
  <c r="AI88" i="1"/>
  <c r="AI89" i="1"/>
  <c r="AI90" i="1"/>
  <c r="AI87" i="1"/>
  <c r="AI40" i="1"/>
  <c r="AI35" i="1"/>
  <c r="AI38" i="1"/>
  <c r="AI36" i="1"/>
  <c r="AI39" i="1"/>
  <c r="AI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tc={9CF62419-A759-7F4F-BAA8-87A75128CDD5}</author>
  </authors>
  <commentList>
    <comment ref="AD28" authorId="0" shapeId="0" xr:uid="{9CF62419-A759-7F4F-BAA8-87A75128CDD5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split</t>
      </text>
    </comment>
  </commentList>
</comments>
</file>

<file path=xl/sharedStrings.xml><?xml version="1.0" encoding="utf-8"?>
<sst xmlns="http://schemas.openxmlformats.org/spreadsheetml/2006/main" count="580" uniqueCount="216">
  <si>
    <t>https://www.nrel.gov/docs/fy19osti/71714.pdf</t>
  </si>
  <si>
    <t>AC COST BREAKDOWN ($ millions)</t>
  </si>
  <si>
    <t>DC COST BREAKDOWN</t>
  </si>
  <si>
    <t>standalone pv cost breakdown (77 MW)</t>
  </si>
  <si>
    <t>standalone storage cost breakdown (46 MW/240 MWh)</t>
  </si>
  <si>
    <t>co-located dc-coupled (pv + storage)</t>
  </si>
  <si>
    <t>added up costs</t>
  </si>
  <si>
    <t>different sites dc-coupled (pv + storage)</t>
  </si>
  <si>
    <t>cost savings</t>
  </si>
  <si>
    <t>AC/DC?</t>
  </si>
  <si>
    <t>pv dc (100 MW DC)</t>
  </si>
  <si>
    <t xml:space="preserve">storage dc (60 MW/240 MWh) </t>
  </si>
  <si>
    <t>inverter ac costs (77 MW AC)</t>
  </si>
  <si>
    <t>sum!</t>
  </si>
  <si>
    <t>PV module</t>
  </si>
  <si>
    <t>DC</t>
  </si>
  <si>
    <t>2018 $ --&gt; 2022 $</t>
  </si>
  <si>
    <t>2022 $</t>
  </si>
  <si>
    <t>li-ion battery</t>
  </si>
  <si>
    <t>solar inverter</t>
  </si>
  <si>
    <t>Step 1: 2018 Co-Located Capital Cost Breakdown</t>
  </si>
  <si>
    <t>Step 2: 2030 Find Proportion of Capital Costs (LOW)</t>
  </si>
  <si>
    <t>bidirectional inverter</t>
  </si>
  <si>
    <t>inverter</t>
  </si>
  <si>
    <t>Assumptions</t>
  </si>
  <si>
    <t>structural BOS</t>
  </si>
  <si>
    <t xml:space="preserve"> PV ($/MW-ac)</t>
  </si>
  <si>
    <t>77 MW AC PV</t>
  </si>
  <si>
    <t>PV ($/MW-ac)</t>
  </si>
  <si>
    <t>electrical BOS</t>
  </si>
  <si>
    <t xml:space="preserve"> Storage ($/MWh-ac)</t>
  </si>
  <si>
    <t>240 MWh AC</t>
  </si>
  <si>
    <t>Storage ($/MWh-ac)</t>
  </si>
  <si>
    <t>installation labor/equipment</t>
  </si>
  <si>
    <t>split 4-ways</t>
  </si>
  <si>
    <t>Storage ($/MW-ac)</t>
  </si>
  <si>
    <t>EPC overhead</t>
  </si>
  <si>
    <t>sales tax</t>
  </si>
  <si>
    <t>PV ($/MW-dc)</t>
  </si>
  <si>
    <t>100 MW DC PV</t>
  </si>
  <si>
    <t>PV 2030:2018 Ratio</t>
  </si>
  <si>
    <t>land acquisition</t>
  </si>
  <si>
    <t>Storage ($/MWh-dc)</t>
  </si>
  <si>
    <t>240 MWh DC STOR</t>
  </si>
  <si>
    <t>Storage MWh 2030:2018 Ratio</t>
  </si>
  <si>
    <t>permitting fee</t>
  </si>
  <si>
    <t>Inverter ($/MW-ac)</t>
  </si>
  <si>
    <t xml:space="preserve">77 MW AC GRID </t>
  </si>
  <si>
    <t>interconnection fee</t>
  </si>
  <si>
    <t>contingency</t>
  </si>
  <si>
    <t>developer overhead</t>
  </si>
  <si>
    <t>EPC/developer net profit</t>
  </si>
  <si>
    <t>sum</t>
  </si>
  <si>
    <t>Ratio of AC:DC Costs</t>
  </si>
  <si>
    <t>SUM COSTS</t>
  </si>
  <si>
    <t>Percentage Increase from Baseline Inverter Cost</t>
  </si>
  <si>
    <t>Subcomponent cost</t>
  </si>
  <si>
    <t>% of total cost</t>
  </si>
  <si>
    <t>PV AC Costs</t>
  </si>
  <si>
    <t>Step 3: Annuitize Costs (2.5%, 30 years, PV Multipliers)</t>
  </si>
  <si>
    <t>Substation Costs AC (4.4%, 60 years)</t>
  </si>
  <si>
    <t>Inverter Costs AC (2.5%, 15 years,PV Multipliers)</t>
  </si>
  <si>
    <t>https://www.nrel.gov/docs/fy20osti/74111.pdf</t>
  </si>
  <si>
    <t>Battery Pack (2.5%, 15 years, Bat Multipliers)</t>
  </si>
  <si>
    <t>region</t>
  </si>
  <si>
    <t>Resource</t>
  </si>
  <si>
    <t>technology</t>
  </si>
  <si>
    <t>Max_Cap_MW</t>
  </si>
  <si>
    <t>capex_mw</t>
  </si>
  <si>
    <t>Inv_Cost_per_MWyr</t>
  </si>
  <si>
    <t>Fixed_OM_Cost_per_MWyr</t>
  </si>
  <si>
    <t>interconnect_annuity</t>
  </si>
  <si>
    <t>regional_cost_multiplier</t>
  </si>
  <si>
    <t>wacc_real</t>
  </si>
  <si>
    <t>lcoe</t>
  </si>
  <si>
    <t>cap_recovery_years</t>
  </si>
  <si>
    <t>calculated_inv</t>
  </si>
  <si>
    <t>R_ID</t>
  </si>
  <si>
    <t>ITC</t>
  </si>
  <si>
    <t>Capex ($/MW)</t>
  </si>
  <si>
    <t>Regional Capex ($/MW)</t>
  </si>
  <si>
    <t>Investment Costs ($/MW-dc/yr)</t>
  </si>
  <si>
    <t>Fixed O&amp;M Costs</t>
  </si>
  <si>
    <t>Bat Multipliers</t>
  </si>
  <si>
    <t>Total $/MW</t>
  </si>
  <si>
    <t>Original AC $/MW</t>
  </si>
  <si>
    <t>Percent Difference</t>
  </si>
  <si>
    <t>Investment $/MWh-Dc</t>
  </si>
  <si>
    <t>Fixed O&amp;M $/MW/yr</t>
  </si>
  <si>
    <t>IRA PLUS GRID</t>
  </si>
  <si>
    <t>CA_N</t>
  </si>
  <si>
    <t>CA_N_utilitypv_class1_advanced_0</t>
  </si>
  <si>
    <t>UtilityPV_Class1_Advanced_</t>
  </si>
  <si>
    <t>CA_N_utilitypv_class1_advanced_1</t>
  </si>
  <si>
    <t>CA_N_utilitypv_class1_advanced_2</t>
  </si>
  <si>
    <t>CA_N_utilitypv_class1_advanced_3</t>
  </si>
  <si>
    <t>CA_N_utilitypv_class1_advanced_4</t>
  </si>
  <si>
    <t>CA_N_utilitypv_class1_advanced_5</t>
  </si>
  <si>
    <t>CA_S</t>
  </si>
  <si>
    <t>CA_S_utilitypv_class1_advanced_0</t>
  </si>
  <si>
    <t>CA_S_utilitypv_class1_advanced_1</t>
  </si>
  <si>
    <t>CA_S_utilitypv_class1_advanced_2</t>
  </si>
  <si>
    <t>CA_S_utilitypv_class1_advanced_3</t>
  </si>
  <si>
    <t>CA_S_utilitypv_class1_advanced_4</t>
  </si>
  <si>
    <t>CA_S_utilitypv_class1_advanced_5</t>
  </si>
  <si>
    <t>WECC_AZ</t>
  </si>
  <si>
    <t>WECC_AZ_utilitypv_class1_advanced_0</t>
  </si>
  <si>
    <t>WECC_AZ_utilitypv_class1_advanced_1</t>
  </si>
  <si>
    <t>WECC_AZ_utilitypv_class1_advanced_2</t>
  </si>
  <si>
    <t>WECC_AZ_utilitypv_class1_advanced_3</t>
  </si>
  <si>
    <t>WECC_AZ_utilitypv_class1_advanced_4</t>
  </si>
  <si>
    <t>WECC_AZ_utilitypv_class1_advanced_5</t>
  </si>
  <si>
    <t>WECC_AZ_utilitypv_class1_advanced_6</t>
  </si>
  <si>
    <t>WECC_AZ_utilitypv_class1_advanced_7</t>
  </si>
  <si>
    <t>WECC_CO</t>
  </si>
  <si>
    <t>WECC_CO_utilitypv_class1_advanced_0</t>
  </si>
  <si>
    <t>WECC_CO_utilitypv_class1_advanced_1</t>
  </si>
  <si>
    <t>WECC_CO_utilitypv_class1_advanced_2</t>
  </si>
  <si>
    <t>WECC_CO_utilitypv_class1_advanced_3</t>
  </si>
  <si>
    <t>WECC_CO_utilitypv_class1_advanced_4</t>
  </si>
  <si>
    <t>WECC_CO_utilitypv_class1_advanced_5</t>
  </si>
  <si>
    <t>WECC_ID</t>
  </si>
  <si>
    <t>WECC_ID_utilitypv_class1_advanced_0</t>
  </si>
  <si>
    <t>WECC_ID_utilitypv_class1_advanced_1</t>
  </si>
  <si>
    <t>WECC_ID_utilitypv_class1_advanced_2</t>
  </si>
  <si>
    <t>WECC_ID_utilitypv_class1_advanced_3</t>
  </si>
  <si>
    <t>WECC_IID</t>
  </si>
  <si>
    <t>WECC_IID_utilitypv_class1_advanced_0</t>
  </si>
  <si>
    <t>WECC_IID_utilitypv_class1_advanced_1</t>
  </si>
  <si>
    <t>WECC_IID_utilitypv_class1_advanced_2</t>
  </si>
  <si>
    <t>WECC_IID_utilitypv_class1_advanced_3</t>
  </si>
  <si>
    <t>WECC_MT</t>
  </si>
  <si>
    <t>WECC_MT_utilitypv_class1_advanced_0</t>
  </si>
  <si>
    <t>WECC_MT_utilitypv_class1_advanced_1</t>
  </si>
  <si>
    <t>WECC_MT_utilitypv_class1_advanced_2</t>
  </si>
  <si>
    <t>WECC_MT_utilitypv_class1_advanced_3</t>
  </si>
  <si>
    <t>WECC_NM</t>
  </si>
  <si>
    <t>WECC_NM_utilitypv_class1_advanced_0</t>
  </si>
  <si>
    <t>WECC_NM_utilitypv_class1_advanced_1</t>
  </si>
  <si>
    <t>WECC_NM_utilitypv_class1_advanced_2</t>
  </si>
  <si>
    <t>WECC_NM_utilitypv_class1_advanced_3</t>
  </si>
  <si>
    <t>WECC_NM_utilitypv_class1_advanced_4</t>
  </si>
  <si>
    <t>WECC_NM_utilitypv_class1_advanced_5</t>
  </si>
  <si>
    <t>WECC_NM_utilitypv_class1_advanced_6</t>
  </si>
  <si>
    <t>WECC_NM_utilitypv_class1_advanced_7</t>
  </si>
  <si>
    <t>WECC_NNV</t>
  </si>
  <si>
    <t>WECC_NNV_utilitypv_class1_advanced_0</t>
  </si>
  <si>
    <t>WECC_NNV_utilitypv_class1_advanced_1</t>
  </si>
  <si>
    <t>WECC_NNV_utilitypv_class1_advanced_2</t>
  </si>
  <si>
    <t>WECC_NNV_utilitypv_class1_advanced_3</t>
  </si>
  <si>
    <t>WECC_NNV_utilitypv_class1_advanced_4</t>
  </si>
  <si>
    <t>WECC_NNV_utilitypv_class1_advanced_5</t>
  </si>
  <si>
    <t>WECC_PNW</t>
  </si>
  <si>
    <t>WECC_PNW_utilitypv_class1_advanced_0</t>
  </si>
  <si>
    <t>WECC_PNW_utilitypv_class1_advanced_1</t>
  </si>
  <si>
    <t>WECC_PNW_utilitypv_class1_advanced_2</t>
  </si>
  <si>
    <t>WECC_PNW_utilitypv_class1_advanced_3</t>
  </si>
  <si>
    <t>WECC_SNV</t>
  </si>
  <si>
    <t>WECC_SNV_utilitypv_class1_advanced_0</t>
  </si>
  <si>
    <t>WECC_SNV_utilitypv_class1_advanced_1</t>
  </si>
  <si>
    <t>WECC_SNV_utilitypv_class1_advanced_2</t>
  </si>
  <si>
    <t>WECC_SNV_utilitypv_class1_advanced_3</t>
  </si>
  <si>
    <t>WECC_SNV_utilitypv_class1_advanced_4</t>
  </si>
  <si>
    <t>WECC_SNV_utilitypv_class1_advanced_5</t>
  </si>
  <si>
    <t>WECC_UT</t>
  </si>
  <si>
    <t>WECC_UT_utilitypv_class1_advanced_0</t>
  </si>
  <si>
    <t>WECC_UT_utilitypv_class1_advanced_1</t>
  </si>
  <si>
    <t>WECC_UT_utilitypv_class1_advanced_2</t>
  </si>
  <si>
    <t>WECC_UT_utilitypv_class1_advanced_3</t>
  </si>
  <si>
    <t>WECC_WY</t>
  </si>
  <si>
    <t>WECC_WY_utilitypv_class1_advanced_0</t>
  </si>
  <si>
    <t>WECC_WY_utilitypv_class1_advanced_1</t>
  </si>
  <si>
    <t>WECC_WY_utilitypv_class1_advanced_2</t>
  </si>
  <si>
    <t>WECC_WY_utilitypv_class1_advanced_3</t>
  </si>
  <si>
    <t>WECC_WY_utilitypv_class1_advanced_4</t>
  </si>
  <si>
    <t>WECC_WY_utilitypv_class1_advanced_5</t>
  </si>
  <si>
    <t>WEC_SDGE</t>
  </si>
  <si>
    <t>WEC_SDGE_utilitypv_class1_advanced_1</t>
  </si>
  <si>
    <t>WEC_SDGE_utilitypv_class1_advanced_2</t>
  </si>
  <si>
    <t>Storage AC Costs</t>
  </si>
  <si>
    <t>Resource_type</t>
  </si>
  <si>
    <t>capex_mwh</t>
  </si>
  <si>
    <t>Inv_Cost_per_MWhyr</t>
  </si>
  <si>
    <t>Fixed_OM_Cost_per_MWhyr</t>
  </si>
  <si>
    <t>Var_OM_Cost_per_MWh</t>
  </si>
  <si>
    <t>Var_OM_Cost_per_MWh_In</t>
  </si>
  <si>
    <t>CA_N_battery_advanced_0</t>
  </si>
  <si>
    <t>Battery_*_Advanced</t>
  </si>
  <si>
    <t>CA_S_battery_advanced_0</t>
  </si>
  <si>
    <t>WECC_AZ_battery_advanced_0</t>
  </si>
  <si>
    <t>WECC_CO_battery_advanced_0</t>
  </si>
  <si>
    <t>WECC_ID_battery_advanced_0</t>
  </si>
  <si>
    <t>WECC_IID_battery_advanced_0</t>
  </si>
  <si>
    <t>WECC_MT_battery_advanced_0</t>
  </si>
  <si>
    <t>WECC_NM_battery_advanced_0</t>
  </si>
  <si>
    <t>WECC_NNV_battery_advanced_0</t>
  </si>
  <si>
    <t>WECC_PNW_battery_advanced_0</t>
  </si>
  <si>
    <t>WECC_SNV_battery_advanced_0</t>
  </si>
  <si>
    <t>WECC_UT_battery_advanced_0</t>
  </si>
  <si>
    <t>WECC_WY_battery_advanced_0</t>
  </si>
  <si>
    <t>WEC_SDGE_battery_advanced_0</t>
  </si>
  <si>
    <t>Standalone Storage DC Costs IRA</t>
  </si>
  <si>
    <t>Capex MWh</t>
  </si>
  <si>
    <t>Regional Multipliers</t>
  </si>
  <si>
    <t>Regional Capex MWh</t>
  </si>
  <si>
    <t>Investment Costs ($/MWh-dc/yr) 2.5%, 15 years, Bat Multipliers</t>
  </si>
  <si>
    <t>Fixed Costs MWh</t>
  </si>
  <si>
    <t>Grid Connection Investment (4.4%, 60 years, region specific)</t>
  </si>
  <si>
    <t>Fixed O&amp;M Grid Connection</t>
  </si>
  <si>
    <t>Inverter Capex</t>
  </si>
  <si>
    <t>Regional Inverter Capex</t>
  </si>
  <si>
    <t>Investment Inverter Costs (2.5%, 30 years, Bat Multipliers)</t>
  </si>
  <si>
    <t>Fixed O&amp;M Inverter</t>
  </si>
  <si>
    <t>Co-Located Storage DC Costs</t>
  </si>
  <si>
    <t>Investment Costs ($/MWh-dc/yr) (2.5%, 15 years, Bat Multipliers)</t>
  </si>
  <si>
    <t>Standalone Storage DC Costs IRA-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</si>
</sst>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0000"/>
    <numFmt numFmtId="166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4" applyNumberFormat="1"/>
    <xf numFmtId="0" fontId="3" fillId="2" borderId="0" xfId="0" applyFont="1" applyFill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0" fontId="0" fillId="3" borderId="0" xfId="0" applyFill="1"/>
    <xf numFmtId="0" fontId="5" fillId="0" borderId="0" xfId="0" applyFont="1"/>
    <xf numFmtId="0" fontId="0" fillId="2" borderId="0" xfId="0" applyFill="1"/>
    <xf numFmtId="0" fontId="0" fillId="3" borderId="0" xfId="3" applyNumberFormat="1" applyFont="1" applyFill="1"/>
    <xf numFmtId="0" fontId="0" fillId="4" borderId="0" xfId="0" applyFill="1"/>
    <xf numFmtId="0" fontId="2" fillId="0" borderId="0" xfId="0" applyFont="1"/>
    <xf numFmtId="0" fontId="0" fillId="0" borderId="0" xfId="3" applyNumberFormat="1" applyFont="1"/>
    <xf numFmtId="0" fontId="3" fillId="5" borderId="0" xfId="0" applyFont="1" applyFill="1"/>
    <xf numFmtId="0" fontId="0" fillId="5" borderId="0" xfId="0" applyFill="1"/>
    <xf numFmtId="164" fontId="0" fillId="0" borderId="0" xfId="3" applyNumberFormat="1" applyFont="1"/>
    <xf numFmtId="0" fontId="2" fillId="0" borderId="0" xfId="3" applyNumberFormat="1" applyFont="1"/>
    <xf numFmtId="0" fontId="0" fillId="5" borderId="0" xfId="1" applyNumberFormat="1" applyFont="1" applyFill="1"/>
    <xf numFmtId="0" fontId="3" fillId="4" borderId="0" xfId="0" applyFont="1" applyFill="1"/>
    <xf numFmtId="0" fontId="0" fillId="4" borderId="0" xfId="1" applyNumberFormat="1" applyFont="1" applyFill="1"/>
    <xf numFmtId="0" fontId="0" fillId="0" borderId="0" xfId="2" applyNumberFormat="1" applyFont="1"/>
    <xf numFmtId="165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0" borderId="0" xfId="1" applyNumberFormat="1" applyFont="1" applyFill="1"/>
    <xf numFmtId="0" fontId="0" fillId="0" borderId="0" xfId="1" applyNumberFormat="1" applyFont="1"/>
    <xf numFmtId="0" fontId="3" fillId="0" borderId="0" xfId="0" applyFont="1" applyAlignment="1">
      <alignment horizontal="center"/>
    </xf>
    <xf numFmtId="0" fontId="3" fillId="2" borderId="0" xfId="0" applyFont="1" applyFill="1"/>
    <xf numFmtId="164" fontId="0" fillId="0" borderId="0" xfId="0" applyNumberFormat="1"/>
    <xf numFmtId="165" fontId="0" fillId="2" borderId="0" xfId="0" applyNumberFormat="1" applyFill="1"/>
    <xf numFmtId="0" fontId="0" fillId="0" borderId="0" xfId="0" applyNumberFormat="1"/>
    <xf numFmtId="166" fontId="0" fillId="3" borderId="0" xfId="3" applyNumberFormat="1" applyFont="1" applyFill="1"/>
    <xf numFmtId="166" fontId="0" fillId="0" borderId="0" xfId="3" applyNumberFormat="1" applyFont="1"/>
    <xf numFmtId="164" fontId="3" fillId="0" borderId="0" xfId="0" applyNumberFormat="1" applyFon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re_stor_breakdown_new_clus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"/>
      <sheetName val="ira, low, solar, 2"/>
      <sheetName val="ira, low, solar, ec"/>
      <sheetName val="ira, low, solar"/>
      <sheetName val="ira, low, wind, ec"/>
      <sheetName val="ira, low, wind"/>
      <sheetName val="ira, mid, solar, ec"/>
      <sheetName val="ira, mid, solar"/>
      <sheetName val="ira, mid, wind"/>
      <sheetName val="ira, mid, wind,, ec"/>
      <sheetName val="prev, low, solar"/>
      <sheetName val="prev, low, wind"/>
      <sheetName val="prev, mid, solar"/>
      <sheetName val="prev, mid, wind"/>
      <sheetName val="ac cost breakdown"/>
      <sheetName val="standalone bat grid connection"/>
      <sheetName val="qingyu comments"/>
      <sheetName val="2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E2">
            <v>4250.5244634534611</v>
          </cell>
        </row>
        <row r="3">
          <cell r="E3">
            <v>4250.5244634534611</v>
          </cell>
        </row>
        <row r="4">
          <cell r="E4">
            <v>1889.1219837570934</v>
          </cell>
        </row>
        <row r="5">
          <cell r="E5">
            <v>1889.1219837570934</v>
          </cell>
        </row>
        <row r="6">
          <cell r="E6">
            <v>1889.1219837570934</v>
          </cell>
        </row>
        <row r="7">
          <cell r="E7">
            <v>4250.5244634534611</v>
          </cell>
        </row>
        <row r="8">
          <cell r="E8">
            <v>1889.1219837570934</v>
          </cell>
        </row>
        <row r="9">
          <cell r="E9">
            <v>1889.1219837570934</v>
          </cell>
        </row>
        <row r="10">
          <cell r="E10">
            <v>1889.1219837570934</v>
          </cell>
        </row>
        <row r="11">
          <cell r="E11">
            <v>1889.1219837570934</v>
          </cell>
        </row>
        <row r="12">
          <cell r="E12">
            <v>1889.1219837570934</v>
          </cell>
        </row>
        <row r="13">
          <cell r="E13">
            <v>1889.1219837570934</v>
          </cell>
        </row>
        <row r="14">
          <cell r="E14">
            <v>1889.1219837570934</v>
          </cell>
        </row>
        <row r="15">
          <cell r="E15">
            <v>4250.5244634534611</v>
          </cell>
        </row>
      </sheetData>
      <sheetData sheetId="16"/>
      <sheetData sheetId="1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eesha Manocha" id="{947804A4-5C00-7D41-9F3A-849425B32B4A}" userId="bf52d1030ed266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28" dT="2023-04-07T00:07:28.46" personId="{947804A4-5C00-7D41-9F3A-849425B32B4A}" id="{9CF62419-A759-7F4F-BAA8-87A75128CDD5}">
    <text>Check split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B0CB-7D19-B44E-90FD-4D822E662435}">
  <dimension ref="A1:AM197"/>
  <sheetViews>
    <sheetView tabSelected="1" zoomScale="75" zoomScaleNormal="100" workbookViewId="0">
      <pane xSplit="1" topLeftCell="R1" activePane="topRight" state="frozen"/>
      <selection pane="topRight" activeCell="Y17" sqref="Y17"/>
    </sheetView>
  </sheetViews>
  <sheetFormatPr baseColWidth="10" defaultRowHeight="16" x14ac:dyDescent="0.2"/>
  <cols>
    <col min="1" max="1" width="30.33203125" customWidth="1"/>
    <col min="2" max="2" width="48.5" customWidth="1"/>
    <col min="3" max="3" width="41.33203125" customWidth="1"/>
    <col min="4" max="4" width="40.83203125" customWidth="1"/>
    <col min="5" max="5" width="13.33203125" bestFit="1" customWidth="1"/>
    <col min="6" max="6" width="20.5" customWidth="1"/>
    <col min="7" max="7" width="26" customWidth="1"/>
    <col min="8" max="8" width="19.83203125" customWidth="1"/>
    <col min="9" max="9" width="58.33203125" customWidth="1"/>
    <col min="10" max="10" width="26.33203125" customWidth="1"/>
    <col min="11" max="11" width="20" customWidth="1"/>
    <col min="12" max="12" width="26.83203125" customWidth="1"/>
    <col min="13" max="14" width="29.83203125" customWidth="1"/>
    <col min="15" max="15" width="16.83203125" customWidth="1"/>
    <col min="16" max="16" width="19.6640625" customWidth="1"/>
    <col min="17" max="17" width="21" customWidth="1"/>
    <col min="18" max="18" width="22.1640625" customWidth="1"/>
    <col min="19" max="19" width="21.6640625" customWidth="1"/>
    <col min="20" max="20" width="24.1640625" customWidth="1"/>
    <col min="22" max="22" width="18.5" customWidth="1"/>
    <col min="23" max="23" width="30.5" customWidth="1"/>
    <col min="25" max="25" width="22.6640625" customWidth="1"/>
    <col min="26" max="26" width="24" customWidth="1"/>
    <col min="27" max="27" width="26.83203125" customWidth="1"/>
    <col min="30" max="30" width="21.33203125" customWidth="1"/>
    <col min="31" max="31" width="17.83203125" customWidth="1"/>
    <col min="35" max="35" width="27" customWidth="1"/>
    <col min="36" max="36" width="24.83203125" customWidth="1"/>
  </cols>
  <sheetData>
    <row r="1" spans="1:25" x14ac:dyDescent="0.2">
      <c r="A1" t="s">
        <v>0</v>
      </c>
      <c r="B1" s="1" t="s">
        <v>1</v>
      </c>
      <c r="C1" s="1"/>
      <c r="J1" s="2"/>
      <c r="K1" s="1" t="s">
        <v>2</v>
      </c>
      <c r="L1" s="1"/>
      <c r="M1" s="1"/>
      <c r="N1" s="3"/>
    </row>
    <row r="2" spans="1:25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I2" t="s">
        <v>9</v>
      </c>
      <c r="K2" t="s">
        <v>10</v>
      </c>
      <c r="L2" t="s">
        <v>11</v>
      </c>
      <c r="M2" t="s">
        <v>12</v>
      </c>
      <c r="O2" t="s">
        <v>13</v>
      </c>
      <c r="Q2" s="4"/>
      <c r="R2" s="4"/>
      <c r="S2" s="4"/>
      <c r="T2" s="4"/>
    </row>
    <row r="3" spans="1:25" x14ac:dyDescent="0.2">
      <c r="A3" t="s">
        <v>14</v>
      </c>
      <c r="B3" s="5">
        <v>33412550.858343296</v>
      </c>
      <c r="C3" s="5">
        <v>0</v>
      </c>
      <c r="D3" s="5">
        <v>33412550.858343296</v>
      </c>
      <c r="E3">
        <f>C3+B3</f>
        <v>33412550.858343296</v>
      </c>
      <c r="F3" s="28">
        <f>B3+C3</f>
        <v>33412550.858343296</v>
      </c>
      <c r="I3" s="6" t="s">
        <v>15</v>
      </c>
      <c r="J3" t="s">
        <v>14</v>
      </c>
      <c r="K3" s="4">
        <f>B3</f>
        <v>33412550.858343296</v>
      </c>
      <c r="L3" s="4">
        <v>0</v>
      </c>
      <c r="M3">
        <v>0</v>
      </c>
      <c r="O3">
        <f>SUM(K3:M3)</f>
        <v>33412550.858343296</v>
      </c>
      <c r="R3" s="7" t="s">
        <v>16</v>
      </c>
      <c r="S3">
        <v>1.1299999999999999</v>
      </c>
      <c r="W3" t="s">
        <v>17</v>
      </c>
    </row>
    <row r="4" spans="1:25" x14ac:dyDescent="0.2">
      <c r="A4" t="s">
        <v>18</v>
      </c>
      <c r="B4" s="5">
        <v>0</v>
      </c>
      <c r="C4" s="5">
        <v>53166050.925795853</v>
      </c>
      <c r="D4" s="5">
        <v>53166050.925795853</v>
      </c>
      <c r="E4">
        <f>C4+B4</f>
        <v>53166050.925795853</v>
      </c>
      <c r="F4" s="28">
        <f t="shared" ref="F4:F17" si="0">B4+C4</f>
        <v>53166050.925795853</v>
      </c>
      <c r="I4" s="6" t="s">
        <v>15</v>
      </c>
      <c r="J4" t="s">
        <v>18</v>
      </c>
      <c r="K4" s="4">
        <v>0</v>
      </c>
      <c r="L4" s="4">
        <f>C4</f>
        <v>53166050.925795853</v>
      </c>
      <c r="M4">
        <v>0</v>
      </c>
      <c r="O4">
        <f t="shared" ref="O4:O17" si="1">SUM(K4:M4)</f>
        <v>53166050.925795853</v>
      </c>
    </row>
    <row r="5" spans="1:25" x14ac:dyDescent="0.2">
      <c r="A5" s="8" t="s">
        <v>19</v>
      </c>
      <c r="B5" s="5">
        <v>3838758.1408942207</v>
      </c>
      <c r="C5" s="5">
        <v>0</v>
      </c>
      <c r="D5" s="5">
        <v>0</v>
      </c>
      <c r="E5">
        <f t="shared" ref="E5:E16" si="2">C5+B5</f>
        <v>3838758.1408942207</v>
      </c>
      <c r="F5" s="28">
        <f t="shared" si="0"/>
        <v>3838758.1408942207</v>
      </c>
      <c r="I5" s="6"/>
      <c r="J5" t="s">
        <v>19</v>
      </c>
      <c r="K5" s="4">
        <v>0</v>
      </c>
      <c r="L5" s="4">
        <v>0</v>
      </c>
      <c r="M5">
        <v>0</v>
      </c>
      <c r="O5">
        <f t="shared" si="1"/>
        <v>0</v>
      </c>
      <c r="Q5" s="1" t="s">
        <v>20</v>
      </c>
      <c r="R5" s="1"/>
      <c r="S5" s="1"/>
      <c r="T5" s="1"/>
      <c r="V5" s="1" t="s">
        <v>21</v>
      </c>
      <c r="W5" s="1"/>
      <c r="X5" s="1"/>
      <c r="Y5" s="1"/>
    </row>
    <row r="6" spans="1:25" x14ac:dyDescent="0.2">
      <c r="A6" t="s">
        <v>22</v>
      </c>
      <c r="B6" s="5">
        <v>0</v>
      </c>
      <c r="C6" s="5">
        <v>3537799.5026481138</v>
      </c>
      <c r="D6" s="5">
        <v>4535640.3880104022</v>
      </c>
      <c r="E6">
        <f t="shared" si="2"/>
        <v>3537799.5026481138</v>
      </c>
      <c r="F6" s="28">
        <f t="shared" si="0"/>
        <v>3537799.5026481138</v>
      </c>
      <c r="I6" s="6" t="s">
        <v>23</v>
      </c>
      <c r="J6" t="s">
        <v>22</v>
      </c>
      <c r="K6" s="4">
        <v>0</v>
      </c>
      <c r="L6" s="4">
        <v>0</v>
      </c>
      <c r="M6" s="33">
        <f>D6</f>
        <v>4535640.3880104022</v>
      </c>
      <c r="N6" s="4"/>
      <c r="O6">
        <f t="shared" si="1"/>
        <v>4535640.3880104022</v>
      </c>
      <c r="S6" s="4" t="s">
        <v>24</v>
      </c>
    </row>
    <row r="7" spans="1:25" x14ac:dyDescent="0.2">
      <c r="A7" s="8" t="s">
        <v>25</v>
      </c>
      <c r="B7" s="5">
        <v>12478572.688654665</v>
      </c>
      <c r="C7" s="5">
        <v>782283.39825860225</v>
      </c>
      <c r="D7" s="5">
        <v>13806843.048938226</v>
      </c>
      <c r="E7">
        <f t="shared" si="2"/>
        <v>13260856.086913267</v>
      </c>
      <c r="F7" s="28">
        <f t="shared" si="0"/>
        <v>13260856.086913267</v>
      </c>
      <c r="G7" s="31">
        <f>(E7-D7)/E7</f>
        <v>-4.1172829148170657E-2</v>
      </c>
      <c r="I7" s="10" t="s">
        <v>15</v>
      </c>
      <c r="J7" t="s">
        <v>25</v>
      </c>
      <c r="K7" s="4">
        <f>B7</f>
        <v>12478572.688654665</v>
      </c>
      <c r="L7" s="4">
        <f>C7+(D7-B7-C7)</f>
        <v>1328270.3602835611</v>
      </c>
      <c r="M7">
        <f>D7-L7-K7</f>
        <v>0</v>
      </c>
      <c r="O7">
        <f t="shared" si="1"/>
        <v>13806843.048938226</v>
      </c>
      <c r="Q7" s="4" t="s">
        <v>26</v>
      </c>
      <c r="R7">
        <f>B18/77*10^6*S3</f>
        <v>1309972.1084418981</v>
      </c>
      <c r="S7" t="s">
        <v>27</v>
      </c>
      <c r="V7" s="4" t="s">
        <v>28</v>
      </c>
      <c r="W7">
        <v>974897.12100000004</v>
      </c>
    </row>
    <row r="8" spans="1:25" x14ac:dyDescent="0.2">
      <c r="A8" s="8" t="s">
        <v>29</v>
      </c>
      <c r="B8" s="5">
        <v>7220844.4978923518</v>
      </c>
      <c r="C8" s="5">
        <v>9190374.9686514791</v>
      </c>
      <c r="D8" s="5">
        <v>16895206.936006989</v>
      </c>
      <c r="E8">
        <f t="shared" si="2"/>
        <v>16411219.466543831</v>
      </c>
      <c r="F8" s="28">
        <f t="shared" si="0"/>
        <v>16411219.466543831</v>
      </c>
      <c r="G8" s="31">
        <f>(E8-D8)/E8</f>
        <v>-2.9491255689427762E-2</v>
      </c>
      <c r="I8" s="10" t="s">
        <v>15</v>
      </c>
      <c r="J8" t="s">
        <v>29</v>
      </c>
      <c r="K8" s="4">
        <f>(1-G8)*B8</f>
        <v>7433796.2692732932</v>
      </c>
      <c r="L8" s="4">
        <f>(1-G8)*C8</f>
        <v>9461410.6667336971</v>
      </c>
      <c r="M8">
        <v>0</v>
      </c>
      <c r="O8">
        <f t="shared" si="1"/>
        <v>16895206.936006989</v>
      </c>
      <c r="Q8" s="4" t="s">
        <v>30</v>
      </c>
      <c r="R8">
        <f>C18*10^6/(240)*S3</f>
        <v>424188.97063185222</v>
      </c>
      <c r="S8" t="s">
        <v>31</v>
      </c>
      <c r="V8" s="4" t="s">
        <v>32</v>
      </c>
      <c r="W8">
        <v>231160.90900000001</v>
      </c>
      <c r="X8" s="11">
        <f>W9/4+W8</f>
        <v>275673.34224999999</v>
      </c>
    </row>
    <row r="9" spans="1:25" x14ac:dyDescent="0.2">
      <c r="A9" s="8" t="s">
        <v>33</v>
      </c>
      <c r="B9" s="5">
        <v>11069288.312706161</v>
      </c>
      <c r="C9" s="5">
        <v>4119935.2324535027</v>
      </c>
      <c r="D9" s="5">
        <v>14118324.741390094</v>
      </c>
      <c r="E9">
        <f t="shared" si="2"/>
        <v>15189223.545159664</v>
      </c>
      <c r="F9" s="28">
        <f t="shared" si="0"/>
        <v>15189223.545159664</v>
      </c>
      <c r="G9" s="32">
        <f>(E9-D9)/E9</f>
        <v>7.050385430075734E-2</v>
      </c>
      <c r="I9" s="10" t="s">
        <v>34</v>
      </c>
      <c r="J9" t="s">
        <v>33</v>
      </c>
      <c r="K9" s="22">
        <f>$K$26*D9</f>
        <v>6072034.0431515016</v>
      </c>
      <c r="L9">
        <f>$L$26*D9</f>
        <v>7282549.7536642738</v>
      </c>
      <c r="M9">
        <f>$M$26*D9</f>
        <v>763740.94457431918</v>
      </c>
      <c r="O9">
        <f t="shared" si="1"/>
        <v>14118324.741390094</v>
      </c>
      <c r="Q9" s="13"/>
      <c r="R9" s="14"/>
      <c r="S9" s="14"/>
      <c r="V9" s="4" t="s">
        <v>35</v>
      </c>
      <c r="W9">
        <v>178049.73300000001</v>
      </c>
      <c r="X9" s="11"/>
    </row>
    <row r="10" spans="1:25" x14ac:dyDescent="0.2">
      <c r="A10" s="8" t="s">
        <v>36</v>
      </c>
      <c r="B10" s="5">
        <v>5410367.7630305514</v>
      </c>
      <c r="C10" s="5">
        <v>2558661.8115769802</v>
      </c>
      <c r="D10" s="5">
        <v>5826648.7144235903</v>
      </c>
      <c r="E10">
        <f>C10+B10</f>
        <v>7969029.5746075315</v>
      </c>
      <c r="F10" s="28">
        <f t="shared" si="0"/>
        <v>7969029.5746075315</v>
      </c>
      <c r="G10" s="12">
        <f t="shared" ref="G9:G17" si="3">(E10-D10)/E10</f>
        <v>0.26883836232838321</v>
      </c>
      <c r="I10" s="10" t="s">
        <v>34</v>
      </c>
      <c r="J10" t="s">
        <v>36</v>
      </c>
      <c r="K10">
        <f t="shared" ref="K10:K17" si="4">$K$26*D10</f>
        <v>2505935.3711948609</v>
      </c>
      <c r="L10">
        <f t="shared" ref="L10:L17" si="5">$L$26*D10</f>
        <v>3005516.5848052185</v>
      </c>
      <c r="M10">
        <f t="shared" ref="M10:M17" si="6">$M$26*D10</f>
        <v>315196.75842351129</v>
      </c>
      <c r="O10">
        <f t="shared" si="1"/>
        <v>5826648.7144235903</v>
      </c>
      <c r="X10" s="11"/>
    </row>
    <row r="11" spans="1:25" x14ac:dyDescent="0.2">
      <c r="A11" s="8" t="s">
        <v>37</v>
      </c>
      <c r="B11" s="5">
        <v>3810547.0483593014</v>
      </c>
      <c r="C11" s="5">
        <v>3960296.3977067047</v>
      </c>
      <c r="D11" s="5">
        <v>7308977.5294256853</v>
      </c>
      <c r="E11">
        <f t="shared" si="2"/>
        <v>7770843.4460660061</v>
      </c>
      <c r="F11" s="28">
        <f t="shared" si="0"/>
        <v>7770843.4460660061</v>
      </c>
      <c r="G11" s="12">
        <f t="shared" si="3"/>
        <v>5.9435751066911617E-2</v>
      </c>
      <c r="I11" s="10" t="s">
        <v>34</v>
      </c>
      <c r="J11" t="s">
        <v>37</v>
      </c>
      <c r="K11">
        <f t="shared" si="4"/>
        <v>3143457.9663119731</v>
      </c>
      <c r="L11">
        <f t="shared" si="5"/>
        <v>3770135.159903957</v>
      </c>
      <c r="M11">
        <f t="shared" si="6"/>
        <v>395384.40320975543</v>
      </c>
      <c r="O11">
        <f t="shared" si="1"/>
        <v>7308977.5294256853</v>
      </c>
      <c r="Q11" s="4" t="s">
        <v>38</v>
      </c>
      <c r="R11">
        <f>K18*10^6/100*S3</f>
        <v>811187.08202009415</v>
      </c>
      <c r="S11" t="s">
        <v>39</v>
      </c>
      <c r="V11" s="4" t="s">
        <v>40</v>
      </c>
      <c r="W11">
        <f>W7/R7</f>
        <v>0.74421212079053989</v>
      </c>
    </row>
    <row r="12" spans="1:25" x14ac:dyDescent="0.2">
      <c r="A12" s="8" t="s">
        <v>41</v>
      </c>
      <c r="B12" s="5">
        <v>0</v>
      </c>
      <c r="C12" s="5">
        <v>0</v>
      </c>
      <c r="D12" s="5">
        <v>0</v>
      </c>
      <c r="E12">
        <f>C12+B12</f>
        <v>0</v>
      </c>
      <c r="F12" s="28">
        <f t="shared" si="0"/>
        <v>0</v>
      </c>
      <c r="G12" s="15" t="e">
        <f>(E12-D12)/E12</f>
        <v>#DIV/0!</v>
      </c>
      <c r="I12" s="10" t="s">
        <v>34</v>
      </c>
      <c r="J12" t="s">
        <v>41</v>
      </c>
      <c r="K12">
        <f t="shared" si="4"/>
        <v>0</v>
      </c>
      <c r="L12">
        <f t="shared" si="5"/>
        <v>0</v>
      </c>
      <c r="M12">
        <f t="shared" si="6"/>
        <v>0</v>
      </c>
      <c r="O12">
        <f t="shared" si="1"/>
        <v>0</v>
      </c>
      <c r="Q12" s="4" t="s">
        <v>42</v>
      </c>
      <c r="R12">
        <f>L18*10^6/240*S3</f>
        <v>405376.94633838109</v>
      </c>
      <c r="S12" t="s">
        <v>43</v>
      </c>
      <c r="V12" s="4" t="s">
        <v>44</v>
      </c>
      <c r="W12">
        <f>W8/R8</f>
        <v>0.5449479477405399</v>
      </c>
      <c r="X12" s="16">
        <f>X8/R8</f>
        <v>0.64988333345718485</v>
      </c>
    </row>
    <row r="13" spans="1:25" x14ac:dyDescent="0.2">
      <c r="A13" s="8" t="s">
        <v>45</v>
      </c>
      <c r="B13" s="5">
        <v>196947.82422929438</v>
      </c>
      <c r="C13" s="5">
        <v>181803.5855527503</v>
      </c>
      <c r="D13" s="5">
        <v>181803.5855527503</v>
      </c>
      <c r="E13">
        <f>C13+B13</f>
        <v>378751.40978204471</v>
      </c>
      <c r="F13" s="28">
        <f t="shared" si="0"/>
        <v>378751.40978204471</v>
      </c>
      <c r="G13" s="9">
        <f t="shared" si="3"/>
        <v>0.51999231987711803</v>
      </c>
      <c r="I13" s="10" t="s">
        <v>34</v>
      </c>
      <c r="J13" t="s">
        <v>45</v>
      </c>
      <c r="K13">
        <f t="shared" si="4"/>
        <v>78190.407209362311</v>
      </c>
      <c r="L13">
        <f t="shared" si="5"/>
        <v>93778.382452201811</v>
      </c>
      <c r="M13">
        <f t="shared" si="6"/>
        <v>9834.7958911861861</v>
      </c>
      <c r="O13">
        <f t="shared" si="1"/>
        <v>181803.5855527503</v>
      </c>
      <c r="Q13" s="4" t="s">
        <v>46</v>
      </c>
      <c r="R13">
        <f>M18*10^6/77*S3</f>
        <v>132508.02379789943</v>
      </c>
      <c r="S13" t="s">
        <v>47</v>
      </c>
      <c r="V13" s="13"/>
      <c r="W13" s="14"/>
      <c r="X13" s="16"/>
    </row>
    <row r="14" spans="1:25" x14ac:dyDescent="0.2">
      <c r="A14" s="8" t="s">
        <v>48</v>
      </c>
      <c r="B14" s="5">
        <v>2171572.4405743103</v>
      </c>
      <c r="C14" s="5">
        <v>1302943.464344586</v>
      </c>
      <c r="D14" s="5">
        <v>2171572.4405743103</v>
      </c>
      <c r="E14">
        <f>C14+B14</f>
        <v>3474515.904918896</v>
      </c>
      <c r="F14" s="28">
        <f t="shared" si="0"/>
        <v>3474515.904918896</v>
      </c>
      <c r="G14" s="9">
        <f t="shared" si="3"/>
        <v>0.37499999999999994</v>
      </c>
      <c r="I14" s="6" t="s">
        <v>23</v>
      </c>
      <c r="J14" t="s">
        <v>48</v>
      </c>
      <c r="K14">
        <v>0</v>
      </c>
      <c r="L14">
        <v>0</v>
      </c>
      <c r="M14" s="4">
        <f>D14</f>
        <v>2171572.4405743103</v>
      </c>
      <c r="N14" s="4"/>
      <c r="O14">
        <f t="shared" si="1"/>
        <v>2171572.4405743103</v>
      </c>
      <c r="Q14" s="13"/>
      <c r="R14" s="14"/>
      <c r="S14" s="14"/>
    </row>
    <row r="15" spans="1:25" x14ac:dyDescent="0.2">
      <c r="A15" s="8" t="s">
        <v>49</v>
      </c>
      <c r="B15" s="5">
        <v>2429689.9572030371</v>
      </c>
      <c r="C15" s="5">
        <v>2319958.3996887798</v>
      </c>
      <c r="D15" s="5">
        <v>3762732.2909171209</v>
      </c>
      <c r="E15">
        <f t="shared" si="2"/>
        <v>4749648.3568918165</v>
      </c>
      <c r="F15" s="28">
        <f t="shared" si="0"/>
        <v>4749648.3568918165</v>
      </c>
      <c r="G15" s="12">
        <f t="shared" si="3"/>
        <v>0.20778718587506892</v>
      </c>
      <c r="I15" s="10" t="s">
        <v>34</v>
      </c>
      <c r="J15" t="s">
        <v>49</v>
      </c>
      <c r="K15">
        <f t="shared" si="4"/>
        <v>1618282.5501054903</v>
      </c>
      <c r="L15">
        <f t="shared" si="5"/>
        <v>1940902.0277022647</v>
      </c>
      <c r="M15">
        <f t="shared" si="6"/>
        <v>203547.71310936596</v>
      </c>
      <c r="O15">
        <f t="shared" si="1"/>
        <v>3762732.2909171213</v>
      </c>
      <c r="V15" s="13"/>
      <c r="W15" s="17"/>
    </row>
    <row r="16" spans="1:25" x14ac:dyDescent="0.2">
      <c r="A16" s="8" t="s">
        <v>50</v>
      </c>
      <c r="B16" s="5">
        <v>1719057.6821745653</v>
      </c>
      <c r="C16" s="5">
        <v>4702899.3418983603</v>
      </c>
      <c r="D16" s="5">
        <v>5016976.3878894951</v>
      </c>
      <c r="E16">
        <f t="shared" si="2"/>
        <v>6421957.0240729256</v>
      </c>
      <c r="F16" s="28">
        <f t="shared" si="0"/>
        <v>6421957.0240729256</v>
      </c>
      <c r="G16" s="12">
        <f t="shared" si="3"/>
        <v>0.21877764533720989</v>
      </c>
      <c r="I16" s="10" t="s">
        <v>34</v>
      </c>
      <c r="J16" t="s">
        <v>50</v>
      </c>
      <c r="K16">
        <f t="shared" si="4"/>
        <v>2157710.0668073203</v>
      </c>
      <c r="L16">
        <f t="shared" si="5"/>
        <v>2587869.3702696864</v>
      </c>
      <c r="M16">
        <f t="shared" si="6"/>
        <v>271396.95081248798</v>
      </c>
      <c r="O16">
        <f t="shared" si="1"/>
        <v>5016976.3878894942</v>
      </c>
      <c r="V16" s="18" t="s">
        <v>38</v>
      </c>
      <c r="W16" s="19">
        <f>W11*R11</f>
        <v>603695.25866806391</v>
      </c>
      <c r="Y16">
        <v>570582.26114582457</v>
      </c>
    </row>
    <row r="17" spans="1:39" x14ac:dyDescent="0.2">
      <c r="A17" s="8" t="s">
        <v>51</v>
      </c>
      <c r="B17" s="5">
        <v>4250646.936403865</v>
      </c>
      <c r="C17" s="5">
        <v>4270225.6719946582</v>
      </c>
      <c r="D17" s="5">
        <v>6710205.9188021999</v>
      </c>
      <c r="E17">
        <f>C17+B17</f>
        <v>8520872.6083985232</v>
      </c>
      <c r="F17" s="28">
        <f t="shared" si="0"/>
        <v>8520872.6083985232</v>
      </c>
      <c r="G17" s="12">
        <f t="shared" si="3"/>
        <v>0.21249780073130722</v>
      </c>
      <c r="I17" s="10" t="s">
        <v>34</v>
      </c>
      <c r="J17" t="s">
        <v>51</v>
      </c>
      <c r="K17">
        <f t="shared" si="4"/>
        <v>2885937.2143547912</v>
      </c>
      <c r="L17">
        <f t="shared" si="5"/>
        <v>3461275.2827357058</v>
      </c>
      <c r="M17">
        <f t="shared" si="6"/>
        <v>362993.42171170266</v>
      </c>
      <c r="O17">
        <f t="shared" si="1"/>
        <v>6710205.9188021999</v>
      </c>
      <c r="V17" s="18" t="s">
        <v>42</v>
      </c>
      <c r="W17" s="19">
        <f>R12*X12</f>
        <v>263447.72119308147</v>
      </c>
      <c r="X17" s="20"/>
      <c r="Y17">
        <v>223715.57585301326</v>
      </c>
    </row>
    <row r="18" spans="1:39" x14ac:dyDescent="0.2">
      <c r="A18" s="4" t="s">
        <v>52</v>
      </c>
      <c r="B18" s="21">
        <f>(SUM(B3:B17)+1254742)/10^6</f>
        <v>89.263586150465628</v>
      </c>
      <c r="C18" s="22">
        <f>SUM(C3:C17)/10^6</f>
        <v>90.093232700570383</v>
      </c>
      <c r="D18" s="23">
        <f>(SUM(D3:D17)+1254742)/10^6</f>
        <v>168.16827576607008</v>
      </c>
      <c r="F18" s="29">
        <f>(SUM(F3:F17)+1254741.51401555)/10^6</f>
        <v>179.35681836505154</v>
      </c>
      <c r="J18" s="4" t="s">
        <v>52</v>
      </c>
      <c r="K18">
        <f>SUM(K3:K17)/10^6</f>
        <v>71.786467435406564</v>
      </c>
      <c r="L18">
        <f>SUM(L3:L17)/10^6</f>
        <v>86.097758514346438</v>
      </c>
      <c r="M18">
        <f>SUM(M3:M17)/10^6</f>
        <v>9.0293078163170399</v>
      </c>
      <c r="O18">
        <f>SUM(K18:M18)+1.883302</f>
        <v>168.79683576607002</v>
      </c>
      <c r="V18" s="18" t="s">
        <v>46</v>
      </c>
      <c r="W18" s="19">
        <f>R13*W11</f>
        <v>98614.077412398066</v>
      </c>
      <c r="Y18">
        <v>93191.875310519958</v>
      </c>
    </row>
    <row r="19" spans="1:39" x14ac:dyDescent="0.2">
      <c r="D19" s="30">
        <f>D18/F18</f>
        <v>0.93761852657193656</v>
      </c>
      <c r="F19" s="28">
        <f>SUM(F3,F4,F7,F8,F9,F10,F11,F12,F13,F14,F15,F16)</f>
        <v>162204646.59909514</v>
      </c>
      <c r="J19" s="4"/>
      <c r="V19" s="4"/>
      <c r="W19" s="24"/>
    </row>
    <row r="20" spans="1:39" x14ac:dyDescent="0.2">
      <c r="J20" s="4" t="s">
        <v>53</v>
      </c>
      <c r="K20" s="22">
        <f>K18/B18</f>
        <v>0.80420774619564284</v>
      </c>
      <c r="L20" s="22">
        <f>L18/C18</f>
        <v>0.95565178353069968</v>
      </c>
      <c r="V20" s="4" t="s">
        <v>54</v>
      </c>
      <c r="W20" s="25">
        <f>SUM(W16:W19)</f>
        <v>965757.05727354344</v>
      </c>
    </row>
    <row r="21" spans="1:39" x14ac:dyDescent="0.2">
      <c r="B21" s="26"/>
      <c r="C21" s="26"/>
      <c r="J21" s="4" t="s">
        <v>55</v>
      </c>
      <c r="L21" s="4"/>
      <c r="M21">
        <f>M18/(M6+M14)*100</f>
        <v>1.3462086334633744E-4</v>
      </c>
    </row>
    <row r="22" spans="1:39" x14ac:dyDescent="0.2">
      <c r="J22" s="4"/>
    </row>
    <row r="23" spans="1:39" x14ac:dyDescent="0.2">
      <c r="J23" s="4"/>
    </row>
    <row r="25" spans="1:39" x14ac:dyDescent="0.2">
      <c r="J25" t="s">
        <v>56</v>
      </c>
      <c r="K25">
        <f>SUM(K3:K8)</f>
        <v>53324919.81627126</v>
      </c>
      <c r="L25">
        <f>SUM(L3:L8)</f>
        <v>63955731.952813111</v>
      </c>
      <c r="M25">
        <f>M6+M14</f>
        <v>6707212.828584712</v>
      </c>
    </row>
    <row r="26" spans="1:39" x14ac:dyDescent="0.2">
      <c r="J26" t="s">
        <v>57</v>
      </c>
      <c r="K26" s="12">
        <f>K25/SUM($K$25:$M$25)</f>
        <v>0.43008176638339934</v>
      </c>
      <c r="L26" s="12">
        <f>L25/SUM($K$25:$M$25)</f>
        <v>0.51582251343987939</v>
      </c>
      <c r="M26" s="12">
        <f>M25/SUM(K25:M25)</f>
        <v>5.4095720176721269E-2</v>
      </c>
      <c r="N26" s="12"/>
    </row>
    <row r="27" spans="1:39" x14ac:dyDescent="0.2">
      <c r="A27" s="4" t="s">
        <v>58</v>
      </c>
      <c r="Q27" s="1" t="s">
        <v>59</v>
      </c>
      <c r="R27" s="1"/>
      <c r="S27" s="1"/>
      <c r="T27" s="1"/>
      <c r="V27" s="1" t="s">
        <v>60</v>
      </c>
      <c r="W27" s="1"/>
      <c r="Y27" s="27" t="s">
        <v>61</v>
      </c>
      <c r="Z27" t="s">
        <v>62</v>
      </c>
      <c r="AD27" s="4"/>
      <c r="AI27" s="27" t="s">
        <v>63</v>
      </c>
    </row>
    <row r="28" spans="1:39" x14ac:dyDescent="0.2">
      <c r="A28" s="4" t="s">
        <v>64</v>
      </c>
      <c r="B28" s="4" t="s">
        <v>65</v>
      </c>
      <c r="C28" s="4" t="s">
        <v>66</v>
      </c>
      <c r="D28" s="4" t="s">
        <v>67</v>
      </c>
      <c r="E28" s="4" t="s">
        <v>68</v>
      </c>
      <c r="F28" s="4" t="s">
        <v>69</v>
      </c>
      <c r="G28" s="4" t="s">
        <v>70</v>
      </c>
      <c r="H28" s="4" t="s">
        <v>71</v>
      </c>
      <c r="I28" s="4" t="s">
        <v>72</v>
      </c>
      <c r="J28" s="4" t="s">
        <v>73</v>
      </c>
      <c r="K28" s="4" t="s">
        <v>74</v>
      </c>
      <c r="L28" s="4" t="s">
        <v>75</v>
      </c>
      <c r="M28" s="4" t="s">
        <v>76</v>
      </c>
      <c r="N28" s="4" t="s">
        <v>77</v>
      </c>
      <c r="O28" s="4" t="s">
        <v>78</v>
      </c>
      <c r="Q28" s="4" t="s">
        <v>79</v>
      </c>
      <c r="R28" s="4" t="s">
        <v>80</v>
      </c>
      <c r="S28" s="13" t="s">
        <v>81</v>
      </c>
      <c r="T28" s="13" t="s">
        <v>82</v>
      </c>
      <c r="V28" s="13" t="s">
        <v>81</v>
      </c>
      <c r="W28" s="13" t="s">
        <v>82</v>
      </c>
      <c r="Y28" s="4" t="s">
        <v>79</v>
      </c>
      <c r="Z28" s="4" t="s">
        <v>80</v>
      </c>
      <c r="AA28" s="13" t="s">
        <v>81</v>
      </c>
      <c r="AB28" s="13" t="s">
        <v>82</v>
      </c>
      <c r="AC28" s="4" t="s">
        <v>83</v>
      </c>
      <c r="AD28" s="4" t="s">
        <v>84</v>
      </c>
      <c r="AE28" s="4" t="s">
        <v>85</v>
      </c>
      <c r="AF28" s="4" t="s">
        <v>86</v>
      </c>
      <c r="AI28" s="13" t="s">
        <v>87</v>
      </c>
      <c r="AJ28" s="13" t="s">
        <v>88</v>
      </c>
      <c r="AM28" t="s">
        <v>89</v>
      </c>
    </row>
    <row r="29" spans="1:39" x14ac:dyDescent="0.2">
      <c r="A29" t="s">
        <v>90</v>
      </c>
      <c r="B29" t="s">
        <v>91</v>
      </c>
      <c r="C29" t="s">
        <v>92</v>
      </c>
      <c r="D29">
        <v>7535.7</v>
      </c>
      <c r="E29">
        <v>974897.12100000004</v>
      </c>
      <c r="F29">
        <v>53467</v>
      </c>
      <c r="G29">
        <v>18611</v>
      </c>
      <c r="H29">
        <v>2913.8209999999999</v>
      </c>
      <c r="I29">
        <v>1.0840000000000001</v>
      </c>
      <c r="J29">
        <v>2.5000000000000001E-2</v>
      </c>
      <c r="K29">
        <v>35.743000000000002</v>
      </c>
      <c r="L29">
        <v>30</v>
      </c>
      <c r="M29" s="4">
        <f>E29*I29*(EXP(J29*L29)*(EXP(J29)-1))/(EXP(J29*L29)-1)+H29</f>
        <v>53617.065568445905</v>
      </c>
      <c r="N29">
        <v>170</v>
      </c>
      <c r="O29">
        <v>0.46800000000000003</v>
      </c>
      <c r="Q29">
        <f>$W$16</f>
        <v>603695.25866806391</v>
      </c>
      <c r="R29">
        <f>Q29*I29</f>
        <v>654405.66039618128</v>
      </c>
      <c r="S29">
        <f>R29*(EXP(J29*L29)*(EXP(J29)-1))/(EXP(J29*L29)-1)</f>
        <v>31397.475370181193</v>
      </c>
      <c r="T29">
        <f>G29*0.63</f>
        <v>11724.93</v>
      </c>
      <c r="V29">
        <f>H29</f>
        <v>2913.8209999999999</v>
      </c>
      <c r="W29">
        <f>0.1*G29</f>
        <v>1861.1000000000001</v>
      </c>
      <c r="Y29">
        <f>$W$18</f>
        <v>98614.077412398066</v>
      </c>
      <c r="Z29">
        <f>Y29*AC29</f>
        <v>102657.25458630639</v>
      </c>
      <c r="AA29">
        <f>Z29*(EXP(J29*15)*(EXP(J29)-1))/(EXP(J29*15)-1)*(1-O29)</f>
        <v>4421.1831486180799</v>
      </c>
      <c r="AB29">
        <f>0.27*G29</f>
        <v>5024.97</v>
      </c>
      <c r="AC29">
        <f>$G$148</f>
        <v>1.0409999999999999</v>
      </c>
      <c r="AD29">
        <f>AA29/0.9+V29+S29*1.3/0.9</f>
        <v>53178.155588726251</v>
      </c>
      <c r="AE29">
        <f>F29</f>
        <v>53467</v>
      </c>
      <c r="AF29">
        <f>(AE29-AD29)/AE29</f>
        <v>5.4022932140151657E-3</v>
      </c>
      <c r="AI29">
        <f>$I$166</f>
        <v>11811.200348300879</v>
      </c>
      <c r="AJ29">
        <f>$J$166</f>
        <v>6586.1930298270372</v>
      </c>
      <c r="AM29">
        <f>V29*(1-O29)</f>
        <v>1550.1527720000001</v>
      </c>
    </row>
    <row r="30" spans="1:39" x14ac:dyDescent="0.2">
      <c r="A30" t="s">
        <v>90</v>
      </c>
      <c r="B30" t="s">
        <v>93</v>
      </c>
      <c r="C30" t="s">
        <v>92</v>
      </c>
      <c r="D30">
        <v>3874.6</v>
      </c>
      <c r="E30">
        <v>974897.12100000004</v>
      </c>
      <c r="F30">
        <v>55016</v>
      </c>
      <c r="G30">
        <v>18611</v>
      </c>
      <c r="H30">
        <v>4462.1419999999998</v>
      </c>
      <c r="I30">
        <v>1.0840000000000001</v>
      </c>
      <c r="J30">
        <v>2.5000000000000001E-2</v>
      </c>
      <c r="K30">
        <v>35.595999999999997</v>
      </c>
      <c r="L30">
        <v>30</v>
      </c>
      <c r="M30" s="4">
        <f t="shared" ref="M30:M93" si="7">E30*I30*(EXP(J30*L30)*(EXP(J30)-1))/(EXP(J30*L30)-1)+H30</f>
        <v>55165.386568445909</v>
      </c>
      <c r="N30">
        <v>171</v>
      </c>
      <c r="O30">
        <v>0.46800000000000003</v>
      </c>
      <c r="Q30">
        <f t="shared" ref="Q30:Q93" si="8">$W$16</f>
        <v>603695.25866806391</v>
      </c>
      <c r="R30">
        <f>Q30*I30</f>
        <v>654405.66039618128</v>
      </c>
      <c r="S30">
        <f t="shared" ref="S30:S93" si="9">R30*(EXP(J30*L30)*(EXP(J30)-1))/(EXP(J30*L30)-1)</f>
        <v>31397.475370181193</v>
      </c>
      <c r="T30">
        <f t="shared" ref="T30:T93" si="10">G30*0.63</f>
        <v>11724.93</v>
      </c>
      <c r="V30">
        <f t="shared" ref="V30:V93" si="11">H30</f>
        <v>4462.1419999999998</v>
      </c>
      <c r="W30">
        <f t="shared" ref="W30:W93" si="12">0.1*G30</f>
        <v>1861.1000000000001</v>
      </c>
      <c r="Y30">
        <f t="shared" ref="Y30:Y93" si="13">$W$18</f>
        <v>98614.077412398066</v>
      </c>
      <c r="Z30">
        <f t="shared" ref="Z30:Z93" si="14">Y30*AC30</f>
        <v>102657.25458630639</v>
      </c>
      <c r="AA30">
        <f t="shared" ref="AA30:AA93" si="15">Z30*(EXP(J30*15)*(EXP(J30)-1))/(EXP(J30*15)-1)*(1-O30)</f>
        <v>4421.1831486180799</v>
      </c>
      <c r="AB30">
        <f>0.27*G30</f>
        <v>5024.97</v>
      </c>
      <c r="AC30">
        <f t="shared" ref="AC30:AC34" si="16">$G$148</f>
        <v>1.0409999999999999</v>
      </c>
      <c r="AD30">
        <f t="shared" ref="AD30:AD93" si="17">AA30/0.9+V30+S30*1.3/0.9</f>
        <v>54726.476588726255</v>
      </c>
      <c r="AE30">
        <f t="shared" ref="AE30:AE93" si="18">F30</f>
        <v>55016</v>
      </c>
      <c r="AF30">
        <f t="shared" ref="AF30:AF93" si="19">(AE30-AD30)/AE30</f>
        <v>5.262531105019363E-3</v>
      </c>
      <c r="AI30">
        <f t="shared" ref="AI30:AI34" si="20">$I$166</f>
        <v>11811.200348300879</v>
      </c>
      <c r="AJ30">
        <f t="shared" ref="AJ30:AJ93" si="21">$J$166</f>
        <v>6586.1930298270372</v>
      </c>
      <c r="AM30">
        <f t="shared" ref="AM30:AM93" si="22">V30*(1-O30)</f>
        <v>2373.8595439999999</v>
      </c>
    </row>
    <row r="31" spans="1:39" x14ac:dyDescent="0.2">
      <c r="A31" t="s">
        <v>90</v>
      </c>
      <c r="B31" t="s">
        <v>94</v>
      </c>
      <c r="C31" t="s">
        <v>92</v>
      </c>
      <c r="D31">
        <v>12668.9</v>
      </c>
      <c r="E31">
        <v>974897.12100000004</v>
      </c>
      <c r="F31">
        <v>59232</v>
      </c>
      <c r="G31">
        <v>18611</v>
      </c>
      <c r="H31">
        <v>8678.8109999999997</v>
      </c>
      <c r="I31">
        <v>1.0840000000000001</v>
      </c>
      <c r="J31">
        <v>2.5000000000000001E-2</v>
      </c>
      <c r="K31">
        <v>37.658000000000001</v>
      </c>
      <c r="L31">
        <v>30</v>
      </c>
      <c r="M31" s="4">
        <f t="shared" si="7"/>
        <v>59382.05556844591</v>
      </c>
      <c r="N31">
        <v>172</v>
      </c>
      <c r="O31">
        <v>0.46800000000000003</v>
      </c>
      <c r="Q31">
        <f t="shared" si="8"/>
        <v>603695.25866806391</v>
      </c>
      <c r="R31">
        <f>Q31*I31</f>
        <v>654405.66039618128</v>
      </c>
      <c r="S31">
        <f t="shared" si="9"/>
        <v>31397.475370181193</v>
      </c>
      <c r="T31">
        <f t="shared" si="10"/>
        <v>11724.93</v>
      </c>
      <c r="V31">
        <f t="shared" si="11"/>
        <v>8678.8109999999997</v>
      </c>
      <c r="W31">
        <f t="shared" si="12"/>
        <v>1861.1000000000001</v>
      </c>
      <c r="Y31">
        <f t="shared" si="13"/>
        <v>98614.077412398066</v>
      </c>
      <c r="Z31">
        <f>Y31*AC31</f>
        <v>102657.25458630639</v>
      </c>
      <c r="AA31">
        <f t="shared" si="15"/>
        <v>4421.1831486180799</v>
      </c>
      <c r="AB31">
        <f t="shared" ref="AB31:AB94" si="23">0.27*G31</f>
        <v>5024.97</v>
      </c>
      <c r="AC31">
        <f t="shared" si="16"/>
        <v>1.0409999999999999</v>
      </c>
      <c r="AD31">
        <f t="shared" si="17"/>
        <v>58943.145588726256</v>
      </c>
      <c r="AE31">
        <f t="shared" si="18"/>
        <v>59232</v>
      </c>
      <c r="AF31">
        <f t="shared" si="19"/>
        <v>4.8766614545134998E-3</v>
      </c>
      <c r="AI31">
        <f t="shared" si="20"/>
        <v>11811.200348300879</v>
      </c>
      <c r="AJ31">
        <f t="shared" si="21"/>
        <v>6586.1930298270372</v>
      </c>
      <c r="AM31">
        <f t="shared" si="22"/>
        <v>4617.1274519999997</v>
      </c>
    </row>
    <row r="32" spans="1:39" x14ac:dyDescent="0.2">
      <c r="A32" t="s">
        <v>90</v>
      </c>
      <c r="B32" t="s">
        <v>95</v>
      </c>
      <c r="C32" t="s">
        <v>92</v>
      </c>
      <c r="D32">
        <v>10563.9</v>
      </c>
      <c r="E32">
        <v>974897.12100000004</v>
      </c>
      <c r="F32">
        <v>57024</v>
      </c>
      <c r="G32">
        <v>18611</v>
      </c>
      <c r="H32">
        <v>6470.4440000000004</v>
      </c>
      <c r="I32">
        <v>1.0840000000000001</v>
      </c>
      <c r="J32">
        <v>2.5000000000000001E-2</v>
      </c>
      <c r="K32">
        <v>37.600999999999999</v>
      </c>
      <c r="L32">
        <v>30</v>
      </c>
      <c r="M32" s="4">
        <f t="shared" si="7"/>
        <v>57173.688568445912</v>
      </c>
      <c r="N32">
        <v>173</v>
      </c>
      <c r="O32">
        <v>0.46800000000000003</v>
      </c>
      <c r="Q32">
        <f t="shared" si="8"/>
        <v>603695.25866806391</v>
      </c>
      <c r="R32">
        <f t="shared" ref="R32:R95" si="24">Q32*I32</f>
        <v>654405.66039618128</v>
      </c>
      <c r="S32">
        <f>R32*(EXP(J32*L32)*(EXP(J32)-1))/(EXP(J32*L32)-1)</f>
        <v>31397.475370181193</v>
      </c>
      <c r="T32">
        <f t="shared" si="10"/>
        <v>11724.93</v>
      </c>
      <c r="V32">
        <f t="shared" si="11"/>
        <v>6470.4440000000004</v>
      </c>
      <c r="W32">
        <f t="shared" si="12"/>
        <v>1861.1000000000001</v>
      </c>
      <c r="Y32">
        <f t="shared" si="13"/>
        <v>98614.077412398066</v>
      </c>
      <c r="Z32">
        <f t="shared" si="14"/>
        <v>102657.25458630639</v>
      </c>
      <c r="AA32">
        <f>Z32*(EXP(J32*15)*(EXP(J32)-1))/(EXP(J32*15)-1)*(1-O32)</f>
        <v>4421.1831486180799</v>
      </c>
      <c r="AB32">
        <f t="shared" si="23"/>
        <v>5024.97</v>
      </c>
      <c r="AC32">
        <f t="shared" si="16"/>
        <v>1.0409999999999999</v>
      </c>
      <c r="AD32">
        <f t="shared" si="17"/>
        <v>56734.778588726258</v>
      </c>
      <c r="AE32">
        <f t="shared" si="18"/>
        <v>57024</v>
      </c>
      <c r="AF32">
        <f t="shared" si="19"/>
        <v>5.0719242998341395E-3</v>
      </c>
      <c r="AI32">
        <f t="shared" si="20"/>
        <v>11811.200348300879</v>
      </c>
      <c r="AJ32">
        <f t="shared" si="21"/>
        <v>6586.1930298270372</v>
      </c>
      <c r="AM32">
        <f t="shared" si="22"/>
        <v>3442.2762080000002</v>
      </c>
    </row>
    <row r="33" spans="1:39" x14ac:dyDescent="0.2">
      <c r="A33" t="s">
        <v>90</v>
      </c>
      <c r="B33" t="s">
        <v>96</v>
      </c>
      <c r="C33" t="s">
        <v>92</v>
      </c>
      <c r="D33">
        <v>10512.4</v>
      </c>
      <c r="E33">
        <v>974897.12100000004</v>
      </c>
      <c r="F33">
        <v>62484</v>
      </c>
      <c r="G33">
        <v>18611</v>
      </c>
      <c r="H33">
        <v>11930.837</v>
      </c>
      <c r="I33">
        <v>1.0840000000000001</v>
      </c>
      <c r="J33">
        <v>2.5000000000000001E-2</v>
      </c>
      <c r="K33">
        <v>38.979999999999997</v>
      </c>
      <c r="L33">
        <v>30</v>
      </c>
      <c r="M33" s="4">
        <f t="shared" si="7"/>
        <v>62634.081568445908</v>
      </c>
      <c r="N33">
        <v>174</v>
      </c>
      <c r="O33">
        <v>0.46800000000000003</v>
      </c>
      <c r="Q33">
        <f t="shared" si="8"/>
        <v>603695.25866806391</v>
      </c>
      <c r="R33">
        <f t="shared" si="24"/>
        <v>654405.66039618128</v>
      </c>
      <c r="S33">
        <f>R33*(EXP(J33*L33)*(EXP(J33)-1))/(EXP(J33*L33)-1)</f>
        <v>31397.475370181193</v>
      </c>
      <c r="T33">
        <f t="shared" si="10"/>
        <v>11724.93</v>
      </c>
      <c r="V33">
        <f t="shared" si="11"/>
        <v>11930.837</v>
      </c>
      <c r="W33">
        <f t="shared" si="12"/>
        <v>1861.1000000000001</v>
      </c>
      <c r="Y33">
        <f t="shared" si="13"/>
        <v>98614.077412398066</v>
      </c>
      <c r="Z33">
        <f t="shared" si="14"/>
        <v>102657.25458630639</v>
      </c>
      <c r="AA33">
        <f t="shared" si="15"/>
        <v>4421.1831486180799</v>
      </c>
      <c r="AB33">
        <f t="shared" si="23"/>
        <v>5024.97</v>
      </c>
      <c r="AC33">
        <f t="shared" si="16"/>
        <v>1.0409999999999999</v>
      </c>
      <c r="AD33">
        <f t="shared" si="17"/>
        <v>62195.171588726254</v>
      </c>
      <c r="AE33">
        <f t="shared" si="18"/>
        <v>62484</v>
      </c>
      <c r="AF33">
        <f t="shared" si="19"/>
        <v>4.6224379244885986E-3</v>
      </c>
      <c r="AI33">
        <f t="shared" si="20"/>
        <v>11811.200348300879</v>
      </c>
      <c r="AJ33">
        <f t="shared" si="21"/>
        <v>6586.1930298270372</v>
      </c>
      <c r="AM33">
        <f t="shared" si="22"/>
        <v>6347.2052839999997</v>
      </c>
    </row>
    <row r="34" spans="1:39" x14ac:dyDescent="0.2">
      <c r="A34" t="s">
        <v>90</v>
      </c>
      <c r="B34" t="s">
        <v>97</v>
      </c>
      <c r="C34" t="s">
        <v>92</v>
      </c>
      <c r="D34">
        <v>14236.8</v>
      </c>
      <c r="E34">
        <v>974897.12100000004</v>
      </c>
      <c r="F34">
        <v>60364</v>
      </c>
      <c r="G34">
        <v>18611</v>
      </c>
      <c r="H34">
        <v>9810.0419999999995</v>
      </c>
      <c r="I34">
        <v>1.0840000000000001</v>
      </c>
      <c r="J34">
        <v>2.5000000000000001E-2</v>
      </c>
      <c r="K34">
        <v>39.058999999999997</v>
      </c>
      <c r="L34">
        <v>30</v>
      </c>
      <c r="M34" s="4">
        <f t="shared" si="7"/>
        <v>60513.28656844591</v>
      </c>
      <c r="N34">
        <v>175</v>
      </c>
      <c r="O34">
        <v>0.46800000000000003</v>
      </c>
      <c r="Q34">
        <f t="shared" si="8"/>
        <v>603695.25866806391</v>
      </c>
      <c r="R34">
        <f t="shared" si="24"/>
        <v>654405.66039618128</v>
      </c>
      <c r="S34">
        <f t="shared" si="9"/>
        <v>31397.475370181193</v>
      </c>
      <c r="T34">
        <f t="shared" si="10"/>
        <v>11724.93</v>
      </c>
      <c r="V34">
        <f t="shared" si="11"/>
        <v>9810.0419999999995</v>
      </c>
      <c r="W34">
        <f t="shared" si="12"/>
        <v>1861.1000000000001</v>
      </c>
      <c r="Y34">
        <f t="shared" si="13"/>
        <v>98614.077412398066</v>
      </c>
      <c r="Z34">
        <f t="shared" si="14"/>
        <v>102657.25458630639</v>
      </c>
      <c r="AA34">
        <f t="shared" si="15"/>
        <v>4421.1831486180799</v>
      </c>
      <c r="AB34">
        <f t="shared" si="23"/>
        <v>5024.97</v>
      </c>
      <c r="AC34">
        <f t="shared" si="16"/>
        <v>1.0409999999999999</v>
      </c>
      <c r="AD34">
        <f t="shared" si="17"/>
        <v>60074.376588726256</v>
      </c>
      <c r="AE34">
        <f t="shared" si="18"/>
        <v>60364</v>
      </c>
      <c r="AF34">
        <f t="shared" si="19"/>
        <v>4.7979492955030128E-3</v>
      </c>
      <c r="AI34">
        <f t="shared" si="20"/>
        <v>11811.200348300879</v>
      </c>
      <c r="AJ34">
        <f t="shared" si="21"/>
        <v>6586.1930298270372</v>
      </c>
      <c r="AM34">
        <f t="shared" si="22"/>
        <v>5218.942344</v>
      </c>
    </row>
    <row r="35" spans="1:39" x14ac:dyDescent="0.2">
      <c r="A35" t="s">
        <v>98</v>
      </c>
      <c r="B35" t="s">
        <v>99</v>
      </c>
      <c r="C35" t="s">
        <v>92</v>
      </c>
      <c r="D35">
        <v>6812.9</v>
      </c>
      <c r="E35">
        <v>974897.12100000004</v>
      </c>
      <c r="F35">
        <v>52268</v>
      </c>
      <c r="G35">
        <v>18611</v>
      </c>
      <c r="H35">
        <v>2905.8870000000002</v>
      </c>
      <c r="I35">
        <v>1.0589999999999999</v>
      </c>
      <c r="J35">
        <v>2.5000000000000001E-2</v>
      </c>
      <c r="K35">
        <v>34.575000000000003</v>
      </c>
      <c r="L35">
        <v>30</v>
      </c>
      <c r="M35" s="4">
        <f t="shared" si="7"/>
        <v>52439.776297033408</v>
      </c>
      <c r="N35">
        <v>187</v>
      </c>
      <c r="O35">
        <v>0.46800000000000003</v>
      </c>
      <c r="Q35">
        <f t="shared" si="8"/>
        <v>603695.25866806391</v>
      </c>
      <c r="R35">
        <f t="shared" si="24"/>
        <v>639313.27892947965</v>
      </c>
      <c r="S35">
        <f t="shared" si="9"/>
        <v>30673.36385334122</v>
      </c>
      <c r="T35">
        <f t="shared" si="10"/>
        <v>11724.93</v>
      </c>
      <c r="V35">
        <f t="shared" si="11"/>
        <v>2905.8870000000002</v>
      </c>
      <c r="W35">
        <f t="shared" si="12"/>
        <v>1861.1000000000001</v>
      </c>
      <c r="Y35">
        <f t="shared" si="13"/>
        <v>98614.077412398066</v>
      </c>
      <c r="Z35">
        <f>Y35*AC35</f>
        <v>102755.86866371879</v>
      </c>
      <c r="AA35">
        <f t="shared" si="15"/>
        <v>4425.4302025552743</v>
      </c>
      <c r="AB35">
        <f t="shared" si="23"/>
        <v>5024.97</v>
      </c>
      <c r="AC35">
        <f>$G$149</f>
        <v>1.042</v>
      </c>
      <c r="AD35">
        <f t="shared" si="17"/>
        <v>52129.001679887631</v>
      </c>
      <c r="AE35">
        <f t="shared" si="18"/>
        <v>52268</v>
      </c>
      <c r="AF35">
        <f t="shared" si="19"/>
        <v>2.6593387945276015E-3</v>
      </c>
      <c r="AI35">
        <f>$I$167</f>
        <v>11822.546362084073</v>
      </c>
      <c r="AJ35">
        <f t="shared" si="21"/>
        <v>6586.1930298270372</v>
      </c>
      <c r="AM35">
        <f t="shared" si="22"/>
        <v>1545.9318840000001</v>
      </c>
    </row>
    <row r="36" spans="1:39" x14ac:dyDescent="0.2">
      <c r="A36" t="s">
        <v>98</v>
      </c>
      <c r="B36" t="s">
        <v>100</v>
      </c>
      <c r="C36" t="s">
        <v>92</v>
      </c>
      <c r="D36">
        <v>4305</v>
      </c>
      <c r="E36">
        <v>974897.12100000004</v>
      </c>
      <c r="F36">
        <v>54811</v>
      </c>
      <c r="G36">
        <v>18611</v>
      </c>
      <c r="H36">
        <v>5448.393</v>
      </c>
      <c r="I36">
        <v>1.0589999999999999</v>
      </c>
      <c r="J36">
        <v>2.5000000000000001E-2</v>
      </c>
      <c r="K36">
        <v>34.374000000000002</v>
      </c>
      <c r="L36">
        <v>30</v>
      </c>
      <c r="M36" s="4">
        <f t="shared" si="7"/>
        <v>54982.282297033409</v>
      </c>
      <c r="N36">
        <v>188</v>
      </c>
      <c r="O36">
        <v>0.46800000000000003</v>
      </c>
      <c r="Q36">
        <f t="shared" si="8"/>
        <v>603695.25866806391</v>
      </c>
      <c r="R36">
        <f t="shared" si="24"/>
        <v>639313.27892947965</v>
      </c>
      <c r="S36">
        <f t="shared" si="9"/>
        <v>30673.36385334122</v>
      </c>
      <c r="T36">
        <f t="shared" si="10"/>
        <v>11724.93</v>
      </c>
      <c r="V36">
        <f t="shared" si="11"/>
        <v>5448.393</v>
      </c>
      <c r="W36">
        <f t="shared" si="12"/>
        <v>1861.1000000000001</v>
      </c>
      <c r="Y36">
        <f t="shared" si="13"/>
        <v>98614.077412398066</v>
      </c>
      <c r="Z36">
        <f t="shared" si="14"/>
        <v>102755.86866371879</v>
      </c>
      <c r="AA36">
        <f>Z36*(EXP(J36*15)*(EXP(J36)-1))/(EXP(J36*15)-1)*(1-O36)</f>
        <v>4425.4302025552743</v>
      </c>
      <c r="AB36">
        <f t="shared" si="23"/>
        <v>5024.97</v>
      </c>
      <c r="AC36">
        <f t="shared" ref="AC36:AC40" si="25">$G$149</f>
        <v>1.042</v>
      </c>
      <c r="AD36">
        <f t="shared" si="17"/>
        <v>54671.507679887625</v>
      </c>
      <c r="AE36">
        <f t="shared" si="18"/>
        <v>54811</v>
      </c>
      <c r="AF36">
        <f t="shared" si="19"/>
        <v>2.5449694424910098E-3</v>
      </c>
      <c r="AI36">
        <f t="shared" ref="AI36:AI40" si="26">$I$167</f>
        <v>11822.546362084073</v>
      </c>
      <c r="AJ36">
        <f t="shared" si="21"/>
        <v>6586.1930298270372</v>
      </c>
      <c r="AM36">
        <f t="shared" si="22"/>
        <v>2898.5450760000003</v>
      </c>
    </row>
    <row r="37" spans="1:39" x14ac:dyDescent="0.2">
      <c r="A37" t="s">
        <v>98</v>
      </c>
      <c r="B37" t="s">
        <v>101</v>
      </c>
      <c r="C37" t="s">
        <v>92</v>
      </c>
      <c r="D37">
        <v>12643.6</v>
      </c>
      <c r="E37">
        <v>974897.12100000004</v>
      </c>
      <c r="F37">
        <v>61284</v>
      </c>
      <c r="G37">
        <v>18611</v>
      </c>
      <c r="H37">
        <v>11921.843999999999</v>
      </c>
      <c r="I37">
        <v>1.0589999999999999</v>
      </c>
      <c r="J37">
        <v>2.5000000000000001E-2</v>
      </c>
      <c r="K37">
        <v>36.622999999999998</v>
      </c>
      <c r="L37">
        <v>30</v>
      </c>
      <c r="M37" s="4">
        <f t="shared" si="7"/>
        <v>61455.733297033403</v>
      </c>
      <c r="N37">
        <v>189</v>
      </c>
      <c r="O37">
        <v>0.46800000000000003</v>
      </c>
      <c r="Q37">
        <f t="shared" si="8"/>
        <v>603695.25866806391</v>
      </c>
      <c r="R37">
        <f t="shared" si="24"/>
        <v>639313.27892947965</v>
      </c>
      <c r="S37">
        <f>R37*(EXP(J37*L37)*(EXP(J37)-1))/(EXP(J37*L37)-1)</f>
        <v>30673.36385334122</v>
      </c>
      <c r="T37">
        <f t="shared" si="10"/>
        <v>11724.93</v>
      </c>
      <c r="V37">
        <f t="shared" si="11"/>
        <v>11921.843999999999</v>
      </c>
      <c r="W37">
        <f t="shared" si="12"/>
        <v>1861.1000000000001</v>
      </c>
      <c r="Y37">
        <f>$W$18</f>
        <v>98614.077412398066</v>
      </c>
      <c r="Z37">
        <f t="shared" si="14"/>
        <v>102755.86866371879</v>
      </c>
      <c r="AA37">
        <f t="shared" si="15"/>
        <v>4425.4302025552743</v>
      </c>
      <c r="AB37">
        <f t="shared" si="23"/>
        <v>5024.97</v>
      </c>
      <c r="AC37">
        <f t="shared" si="25"/>
        <v>1.042</v>
      </c>
      <c r="AD37">
        <f t="shared" si="17"/>
        <v>61144.958679887626</v>
      </c>
      <c r="AE37">
        <f t="shared" si="18"/>
        <v>61284</v>
      </c>
      <c r="AF37">
        <f t="shared" si="19"/>
        <v>2.2688029520327294E-3</v>
      </c>
      <c r="AI37">
        <f t="shared" si="26"/>
        <v>11822.546362084073</v>
      </c>
      <c r="AJ37">
        <f t="shared" si="21"/>
        <v>6586.1930298270372</v>
      </c>
      <c r="AM37">
        <f t="shared" si="22"/>
        <v>6342.4210080000003</v>
      </c>
    </row>
    <row r="38" spans="1:39" x14ac:dyDescent="0.2">
      <c r="A38" t="s">
        <v>98</v>
      </c>
      <c r="B38" t="s">
        <v>102</v>
      </c>
      <c r="C38" t="s">
        <v>92</v>
      </c>
      <c r="D38">
        <v>4016.6</v>
      </c>
      <c r="E38">
        <v>974897.12100000004</v>
      </c>
      <c r="F38">
        <v>56108</v>
      </c>
      <c r="G38">
        <v>18611</v>
      </c>
      <c r="H38">
        <v>6745.1239999999998</v>
      </c>
      <c r="I38">
        <v>1.0589999999999999</v>
      </c>
      <c r="J38">
        <v>2.5000000000000001E-2</v>
      </c>
      <c r="K38">
        <v>36.280999999999999</v>
      </c>
      <c r="L38">
        <v>30</v>
      </c>
      <c r="M38" s="4">
        <f t="shared" si="7"/>
        <v>56279.013297033409</v>
      </c>
      <c r="N38">
        <v>190</v>
      </c>
      <c r="O38">
        <v>0.46800000000000003</v>
      </c>
      <c r="Q38">
        <f t="shared" si="8"/>
        <v>603695.25866806391</v>
      </c>
      <c r="R38">
        <f t="shared" si="24"/>
        <v>639313.27892947965</v>
      </c>
      <c r="S38">
        <f t="shared" si="9"/>
        <v>30673.36385334122</v>
      </c>
      <c r="T38">
        <f t="shared" si="10"/>
        <v>11724.93</v>
      </c>
      <c r="V38">
        <f t="shared" si="11"/>
        <v>6745.1239999999998</v>
      </c>
      <c r="W38">
        <f t="shared" si="12"/>
        <v>1861.1000000000001</v>
      </c>
      <c r="Y38">
        <f t="shared" si="13"/>
        <v>98614.077412398066</v>
      </c>
      <c r="Z38">
        <f>Y38*AC38</f>
        <v>102755.86866371879</v>
      </c>
      <c r="AA38">
        <f t="shared" si="15"/>
        <v>4425.4302025552743</v>
      </c>
      <c r="AB38">
        <f t="shared" si="23"/>
        <v>5024.97</v>
      </c>
      <c r="AC38">
        <f t="shared" si="25"/>
        <v>1.042</v>
      </c>
      <c r="AD38">
        <f t="shared" si="17"/>
        <v>55968.238679887625</v>
      </c>
      <c r="AE38">
        <f t="shared" si="18"/>
        <v>56108</v>
      </c>
      <c r="AF38">
        <f t="shared" si="19"/>
        <v>2.4909339151702957E-3</v>
      </c>
      <c r="AI38">
        <f t="shared" si="26"/>
        <v>11822.546362084073</v>
      </c>
      <c r="AJ38">
        <f t="shared" si="21"/>
        <v>6586.1930298270372</v>
      </c>
      <c r="AM38">
        <f t="shared" si="22"/>
        <v>3588.405968</v>
      </c>
    </row>
    <row r="39" spans="1:39" x14ac:dyDescent="0.2">
      <c r="A39" t="s">
        <v>98</v>
      </c>
      <c r="B39" t="s">
        <v>103</v>
      </c>
      <c r="C39" t="s">
        <v>92</v>
      </c>
      <c r="D39">
        <v>12844.5</v>
      </c>
      <c r="E39">
        <v>974897.12100000004</v>
      </c>
      <c r="F39">
        <v>66613</v>
      </c>
      <c r="G39">
        <v>18611</v>
      </c>
      <c r="H39">
        <v>17250.161</v>
      </c>
      <c r="I39">
        <v>1.0589999999999999</v>
      </c>
      <c r="J39">
        <v>2.5000000000000001E-2</v>
      </c>
      <c r="K39">
        <v>38.710999999999999</v>
      </c>
      <c r="L39">
        <v>30</v>
      </c>
      <c r="M39" s="4">
        <f t="shared" si="7"/>
        <v>66784.050297033406</v>
      </c>
      <c r="N39">
        <v>191</v>
      </c>
      <c r="O39">
        <v>0.46800000000000003</v>
      </c>
      <c r="Q39">
        <f t="shared" si="8"/>
        <v>603695.25866806391</v>
      </c>
      <c r="R39">
        <f t="shared" si="24"/>
        <v>639313.27892947965</v>
      </c>
      <c r="S39">
        <f t="shared" si="9"/>
        <v>30673.36385334122</v>
      </c>
      <c r="T39">
        <f t="shared" si="10"/>
        <v>11724.93</v>
      </c>
      <c r="V39">
        <f t="shared" si="11"/>
        <v>17250.161</v>
      </c>
      <c r="W39">
        <f t="shared" si="12"/>
        <v>1861.1000000000001</v>
      </c>
      <c r="Y39">
        <f t="shared" si="13"/>
        <v>98614.077412398066</v>
      </c>
      <c r="Z39">
        <f t="shared" si="14"/>
        <v>102755.86866371879</v>
      </c>
      <c r="AA39">
        <f t="shared" si="15"/>
        <v>4425.4302025552743</v>
      </c>
      <c r="AB39">
        <f t="shared" si="23"/>
        <v>5024.97</v>
      </c>
      <c r="AC39">
        <f t="shared" si="25"/>
        <v>1.042</v>
      </c>
      <c r="AD39">
        <f t="shared" si="17"/>
        <v>66473.275679887622</v>
      </c>
      <c r="AE39">
        <f t="shared" si="18"/>
        <v>66613</v>
      </c>
      <c r="AF39">
        <f t="shared" si="19"/>
        <v>2.09755333211803E-3</v>
      </c>
      <c r="AI39">
        <f t="shared" si="26"/>
        <v>11822.546362084073</v>
      </c>
      <c r="AJ39">
        <f t="shared" si="21"/>
        <v>6586.1930298270372</v>
      </c>
      <c r="AM39">
        <f t="shared" si="22"/>
        <v>9177.0856519999998</v>
      </c>
    </row>
    <row r="40" spans="1:39" x14ac:dyDescent="0.2">
      <c r="A40" t="s">
        <v>98</v>
      </c>
      <c r="B40" t="s">
        <v>104</v>
      </c>
      <c r="C40" t="s">
        <v>92</v>
      </c>
      <c r="D40">
        <v>1365.2</v>
      </c>
      <c r="E40">
        <v>974897.12100000004</v>
      </c>
      <c r="F40">
        <v>62568</v>
      </c>
      <c r="G40">
        <v>18611</v>
      </c>
      <c r="H40">
        <v>13205.951999999999</v>
      </c>
      <c r="I40">
        <v>1.0589999999999999</v>
      </c>
      <c r="J40">
        <v>2.5000000000000001E-2</v>
      </c>
      <c r="K40">
        <v>38.645000000000003</v>
      </c>
      <c r="L40">
        <v>30</v>
      </c>
      <c r="M40" s="4">
        <f t="shared" si="7"/>
        <v>62739.841297033403</v>
      </c>
      <c r="N40">
        <v>192</v>
      </c>
      <c r="O40">
        <v>0.46800000000000003</v>
      </c>
      <c r="Q40">
        <f t="shared" si="8"/>
        <v>603695.25866806391</v>
      </c>
      <c r="R40">
        <f t="shared" si="24"/>
        <v>639313.27892947965</v>
      </c>
      <c r="S40">
        <f t="shared" si="9"/>
        <v>30673.36385334122</v>
      </c>
      <c r="T40">
        <f t="shared" si="10"/>
        <v>11724.93</v>
      </c>
      <c r="V40">
        <f t="shared" si="11"/>
        <v>13205.951999999999</v>
      </c>
      <c r="W40">
        <f t="shared" si="12"/>
        <v>1861.1000000000001</v>
      </c>
      <c r="Y40">
        <f t="shared" si="13"/>
        <v>98614.077412398066</v>
      </c>
      <c r="Z40">
        <f t="shared" si="14"/>
        <v>102755.86866371879</v>
      </c>
      <c r="AA40">
        <f t="shared" si="15"/>
        <v>4425.4302025552743</v>
      </c>
      <c r="AB40">
        <f t="shared" si="23"/>
        <v>5024.97</v>
      </c>
      <c r="AC40">
        <f t="shared" si="25"/>
        <v>1.042</v>
      </c>
      <c r="AD40">
        <f t="shared" si="17"/>
        <v>62429.066679887626</v>
      </c>
      <c r="AE40">
        <f t="shared" si="18"/>
        <v>62568</v>
      </c>
      <c r="AF40">
        <f t="shared" si="19"/>
        <v>2.2205171990853732E-3</v>
      </c>
      <c r="AI40">
        <f t="shared" si="26"/>
        <v>11822.546362084073</v>
      </c>
      <c r="AJ40">
        <f t="shared" si="21"/>
        <v>6586.1930298270372</v>
      </c>
      <c r="AM40">
        <f t="shared" si="22"/>
        <v>7025.5664640000005</v>
      </c>
    </row>
    <row r="41" spans="1:39" x14ac:dyDescent="0.2">
      <c r="A41" t="s">
        <v>105</v>
      </c>
      <c r="B41" t="s">
        <v>106</v>
      </c>
      <c r="C41" t="s">
        <v>92</v>
      </c>
      <c r="D41">
        <v>9012.2999999999993</v>
      </c>
      <c r="E41">
        <v>974897.12100000004</v>
      </c>
      <c r="F41">
        <v>48185</v>
      </c>
      <c r="G41">
        <v>18611</v>
      </c>
      <c r="H41">
        <v>3167.2060000000001</v>
      </c>
      <c r="I41">
        <v>0.96499999999999997</v>
      </c>
      <c r="J41">
        <v>2.5000000000000001E-2</v>
      </c>
      <c r="K41">
        <v>31.866</v>
      </c>
      <c r="L41">
        <v>30</v>
      </c>
      <c r="M41" s="4">
        <f t="shared" si="7"/>
        <v>48304.319476522418</v>
      </c>
      <c r="N41">
        <v>201</v>
      </c>
      <c r="O41">
        <v>0.46800000000000003</v>
      </c>
      <c r="Q41">
        <f t="shared" si="8"/>
        <v>603695.25866806391</v>
      </c>
      <c r="R41">
        <f t="shared" si="24"/>
        <v>582565.92461468163</v>
      </c>
      <c r="S41">
        <f t="shared" si="9"/>
        <v>27950.704550022925</v>
      </c>
      <c r="T41">
        <f t="shared" si="10"/>
        <v>11724.93</v>
      </c>
      <c r="V41">
        <f t="shared" si="11"/>
        <v>3167.2060000000001</v>
      </c>
      <c r="W41">
        <f t="shared" si="12"/>
        <v>1861.1000000000001</v>
      </c>
      <c r="Y41">
        <f t="shared" si="13"/>
        <v>98614.077412398066</v>
      </c>
      <c r="Z41">
        <f t="shared" si="14"/>
        <v>99797.446341346847</v>
      </c>
      <c r="AA41">
        <f t="shared" si="15"/>
        <v>4298.0185844394791</v>
      </c>
      <c r="AB41">
        <f t="shared" si="23"/>
        <v>5024.97</v>
      </c>
      <c r="AC41">
        <f>$G$150</f>
        <v>1.012</v>
      </c>
      <c r="AD41">
        <f t="shared" si="17"/>
        <v>48316.022110521422</v>
      </c>
      <c r="AE41">
        <f t="shared" si="18"/>
        <v>48185</v>
      </c>
      <c r="AF41">
        <f t="shared" si="19"/>
        <v>-2.7191472558145127E-3</v>
      </c>
      <c r="AI41">
        <f>$I$168</f>
        <v>11482.165948588372</v>
      </c>
      <c r="AJ41">
        <f t="shared" si="21"/>
        <v>6586.1930298270372</v>
      </c>
      <c r="AM41">
        <f t="shared" si="22"/>
        <v>1684.9535920000001</v>
      </c>
    </row>
    <row r="42" spans="1:39" x14ac:dyDescent="0.2">
      <c r="A42" t="s">
        <v>105</v>
      </c>
      <c r="B42" t="s">
        <v>107</v>
      </c>
      <c r="C42" t="s">
        <v>92</v>
      </c>
      <c r="D42">
        <v>10858.3</v>
      </c>
      <c r="E42">
        <v>974897.12100000004</v>
      </c>
      <c r="F42">
        <v>47554</v>
      </c>
      <c r="G42">
        <v>18611</v>
      </c>
      <c r="H42">
        <v>2536.3490000000002</v>
      </c>
      <c r="I42">
        <v>0.96499999999999997</v>
      </c>
      <c r="J42">
        <v>2.5000000000000001E-2</v>
      </c>
      <c r="K42">
        <v>32.283999999999999</v>
      </c>
      <c r="L42">
        <v>30</v>
      </c>
      <c r="M42" s="4">
        <f t="shared" si="7"/>
        <v>47673.462476522422</v>
      </c>
      <c r="N42">
        <v>202</v>
      </c>
      <c r="O42">
        <v>0.46800000000000003</v>
      </c>
      <c r="Q42">
        <f t="shared" si="8"/>
        <v>603695.25866806391</v>
      </c>
      <c r="R42">
        <f t="shared" si="24"/>
        <v>582565.92461468163</v>
      </c>
      <c r="S42">
        <f>R42*(EXP(J42*L42)*(EXP(J42)-1))/(EXP(J42*L42)-1)</f>
        <v>27950.704550022925</v>
      </c>
      <c r="T42">
        <f t="shared" si="10"/>
        <v>11724.93</v>
      </c>
      <c r="V42">
        <f t="shared" si="11"/>
        <v>2536.3490000000002</v>
      </c>
      <c r="W42">
        <f t="shared" si="12"/>
        <v>1861.1000000000001</v>
      </c>
      <c r="Y42">
        <f t="shared" si="13"/>
        <v>98614.077412398066</v>
      </c>
      <c r="Z42">
        <f t="shared" si="14"/>
        <v>99797.446341346847</v>
      </c>
      <c r="AA42">
        <f t="shared" si="15"/>
        <v>4298.0185844394791</v>
      </c>
      <c r="AB42">
        <f t="shared" si="23"/>
        <v>5024.97</v>
      </c>
      <c r="AC42">
        <f t="shared" ref="AC42:AC48" si="27">$G$150</f>
        <v>1.012</v>
      </c>
      <c r="AD42">
        <f t="shared" si="17"/>
        <v>47685.165110521426</v>
      </c>
      <c r="AE42">
        <f t="shared" si="18"/>
        <v>47554</v>
      </c>
      <c r="AF42">
        <f t="shared" si="19"/>
        <v>-2.7582350700556413E-3</v>
      </c>
      <c r="AI42">
        <f t="shared" ref="AI42:AI48" si="28">$I$168</f>
        <v>11482.165948588372</v>
      </c>
      <c r="AJ42">
        <f t="shared" si="21"/>
        <v>6586.1930298270372</v>
      </c>
      <c r="AM42">
        <f t="shared" si="22"/>
        <v>1349.3376680000001</v>
      </c>
    </row>
    <row r="43" spans="1:39" x14ac:dyDescent="0.2">
      <c r="A43" t="s">
        <v>105</v>
      </c>
      <c r="B43" t="s">
        <v>108</v>
      </c>
      <c r="C43" t="s">
        <v>92</v>
      </c>
      <c r="D43">
        <v>55406.5</v>
      </c>
      <c r="E43">
        <v>974897.12100000004</v>
      </c>
      <c r="F43">
        <v>51441</v>
      </c>
      <c r="G43">
        <v>18611</v>
      </c>
      <c r="H43">
        <v>6423.2520000000004</v>
      </c>
      <c r="I43">
        <v>0.96499999999999997</v>
      </c>
      <c r="J43">
        <v>2.5000000000000001E-2</v>
      </c>
      <c r="K43">
        <v>34.002000000000002</v>
      </c>
      <c r="L43">
        <v>30</v>
      </c>
      <c r="M43" s="4">
        <f t="shared" si="7"/>
        <v>51560.36547652242</v>
      </c>
      <c r="N43">
        <v>203</v>
      </c>
      <c r="O43">
        <v>0.46800000000000003</v>
      </c>
      <c r="Q43">
        <f t="shared" si="8"/>
        <v>603695.25866806391</v>
      </c>
      <c r="R43">
        <f t="shared" si="24"/>
        <v>582565.92461468163</v>
      </c>
      <c r="S43">
        <f t="shared" si="9"/>
        <v>27950.704550022925</v>
      </c>
      <c r="T43">
        <f t="shared" si="10"/>
        <v>11724.93</v>
      </c>
      <c r="V43">
        <f t="shared" si="11"/>
        <v>6423.2520000000004</v>
      </c>
      <c r="W43">
        <f t="shared" si="12"/>
        <v>1861.1000000000001</v>
      </c>
      <c r="Y43">
        <f t="shared" si="13"/>
        <v>98614.077412398066</v>
      </c>
      <c r="Z43">
        <f t="shared" si="14"/>
        <v>99797.446341346847</v>
      </c>
      <c r="AA43">
        <f t="shared" si="15"/>
        <v>4298.0185844394791</v>
      </c>
      <c r="AB43">
        <f t="shared" si="23"/>
        <v>5024.97</v>
      </c>
      <c r="AC43">
        <f t="shared" si="27"/>
        <v>1.012</v>
      </c>
      <c r="AD43">
        <f t="shared" si="17"/>
        <v>51572.068110521424</v>
      </c>
      <c r="AE43">
        <f t="shared" si="18"/>
        <v>51441</v>
      </c>
      <c r="AF43">
        <f t="shared" si="19"/>
        <v>-2.5479308435182907E-3</v>
      </c>
      <c r="AI43">
        <f t="shared" si="28"/>
        <v>11482.165948588372</v>
      </c>
      <c r="AJ43">
        <f t="shared" si="21"/>
        <v>6586.1930298270372</v>
      </c>
      <c r="AM43">
        <f t="shared" si="22"/>
        <v>3417.1700640000004</v>
      </c>
    </row>
    <row r="44" spans="1:39" x14ac:dyDescent="0.2">
      <c r="A44" t="s">
        <v>105</v>
      </c>
      <c r="B44" t="s">
        <v>109</v>
      </c>
      <c r="C44" t="s">
        <v>92</v>
      </c>
      <c r="D44">
        <v>47926.6</v>
      </c>
      <c r="E44">
        <v>974897.12100000004</v>
      </c>
      <c r="F44">
        <v>53655</v>
      </c>
      <c r="G44">
        <v>18611</v>
      </c>
      <c r="H44">
        <v>8637.1350000000002</v>
      </c>
      <c r="I44">
        <v>0.96499999999999997</v>
      </c>
      <c r="J44">
        <v>2.5000000000000001E-2</v>
      </c>
      <c r="K44">
        <v>34.234000000000002</v>
      </c>
      <c r="L44">
        <v>30</v>
      </c>
      <c r="M44" s="4">
        <f t="shared" si="7"/>
        <v>53774.248476522422</v>
      </c>
      <c r="N44">
        <v>204</v>
      </c>
      <c r="O44">
        <v>0.46800000000000003</v>
      </c>
      <c r="Q44">
        <f t="shared" si="8"/>
        <v>603695.25866806391</v>
      </c>
      <c r="R44">
        <f t="shared" si="24"/>
        <v>582565.92461468163</v>
      </c>
      <c r="S44">
        <f t="shared" si="9"/>
        <v>27950.704550022925</v>
      </c>
      <c r="T44">
        <f t="shared" si="10"/>
        <v>11724.93</v>
      </c>
      <c r="V44">
        <f t="shared" si="11"/>
        <v>8637.1350000000002</v>
      </c>
      <c r="W44">
        <f t="shared" si="12"/>
        <v>1861.1000000000001</v>
      </c>
      <c r="Y44">
        <f t="shared" si="13"/>
        <v>98614.077412398066</v>
      </c>
      <c r="Z44">
        <f t="shared" si="14"/>
        <v>99797.446341346847</v>
      </c>
      <c r="AA44">
        <f t="shared" si="15"/>
        <v>4298.0185844394791</v>
      </c>
      <c r="AB44">
        <f t="shared" si="23"/>
        <v>5024.97</v>
      </c>
      <c r="AC44">
        <f t="shared" si="27"/>
        <v>1.012</v>
      </c>
      <c r="AD44">
        <f t="shared" si="17"/>
        <v>53785.951110521426</v>
      </c>
      <c r="AE44">
        <f t="shared" si="18"/>
        <v>53655</v>
      </c>
      <c r="AF44">
        <f t="shared" si="19"/>
        <v>-2.4406133728716059E-3</v>
      </c>
      <c r="AI44">
        <f t="shared" si="28"/>
        <v>11482.165948588372</v>
      </c>
      <c r="AJ44">
        <f t="shared" si="21"/>
        <v>6586.1930298270372</v>
      </c>
      <c r="AM44">
        <f t="shared" si="22"/>
        <v>4594.9558200000001</v>
      </c>
    </row>
    <row r="45" spans="1:39" x14ac:dyDescent="0.2">
      <c r="A45" t="s">
        <v>105</v>
      </c>
      <c r="B45" t="s">
        <v>110</v>
      </c>
      <c r="C45" t="s">
        <v>92</v>
      </c>
      <c r="D45">
        <v>93964.7</v>
      </c>
      <c r="E45">
        <v>974897.12100000004</v>
      </c>
      <c r="F45">
        <v>59610</v>
      </c>
      <c r="G45">
        <v>18611</v>
      </c>
      <c r="H45">
        <v>14592.597</v>
      </c>
      <c r="I45">
        <v>0.96499999999999997</v>
      </c>
      <c r="J45">
        <v>2.5000000000000001E-2</v>
      </c>
      <c r="K45">
        <v>36.588000000000001</v>
      </c>
      <c r="L45">
        <v>30</v>
      </c>
      <c r="M45" s="4">
        <f t="shared" si="7"/>
        <v>59729.710476522421</v>
      </c>
      <c r="N45">
        <v>205</v>
      </c>
      <c r="O45">
        <v>0.46800000000000003</v>
      </c>
      <c r="Q45">
        <f t="shared" si="8"/>
        <v>603695.25866806391</v>
      </c>
      <c r="R45">
        <f t="shared" si="24"/>
        <v>582565.92461468163</v>
      </c>
      <c r="S45">
        <f t="shared" si="9"/>
        <v>27950.704550022925</v>
      </c>
      <c r="T45">
        <f t="shared" si="10"/>
        <v>11724.93</v>
      </c>
      <c r="V45">
        <f t="shared" si="11"/>
        <v>14592.597</v>
      </c>
      <c r="W45">
        <f t="shared" si="12"/>
        <v>1861.1000000000001</v>
      </c>
      <c r="Y45">
        <f t="shared" si="13"/>
        <v>98614.077412398066</v>
      </c>
      <c r="Z45">
        <f t="shared" si="14"/>
        <v>99797.446341346847</v>
      </c>
      <c r="AA45">
        <f t="shared" si="15"/>
        <v>4298.0185844394791</v>
      </c>
      <c r="AB45">
        <f t="shared" si="23"/>
        <v>5024.97</v>
      </c>
      <c r="AC45">
        <f t="shared" si="27"/>
        <v>1.012</v>
      </c>
      <c r="AD45">
        <f t="shared" si="17"/>
        <v>59741.413110521426</v>
      </c>
      <c r="AE45">
        <f t="shared" si="18"/>
        <v>59610</v>
      </c>
      <c r="AF45">
        <f t="shared" si="19"/>
        <v>-2.2045480711529197E-3</v>
      </c>
      <c r="AI45">
        <f t="shared" si="28"/>
        <v>11482.165948588372</v>
      </c>
      <c r="AJ45">
        <f t="shared" si="21"/>
        <v>6586.1930298270372</v>
      </c>
      <c r="AM45">
        <f t="shared" si="22"/>
        <v>7763.2616040000003</v>
      </c>
    </row>
    <row r="46" spans="1:39" x14ac:dyDescent="0.2">
      <c r="A46" t="s">
        <v>105</v>
      </c>
      <c r="B46" t="s">
        <v>111</v>
      </c>
      <c r="C46" t="s">
        <v>92</v>
      </c>
      <c r="D46">
        <v>41266.400000000001</v>
      </c>
      <c r="E46">
        <v>974897.12100000004</v>
      </c>
      <c r="F46">
        <v>56734</v>
      </c>
      <c r="G46">
        <v>18611</v>
      </c>
      <c r="H46">
        <v>11716.691000000001</v>
      </c>
      <c r="I46">
        <v>0.96499999999999997</v>
      </c>
      <c r="J46">
        <v>2.5000000000000001E-2</v>
      </c>
      <c r="K46">
        <v>36.049999999999997</v>
      </c>
      <c r="L46">
        <v>30</v>
      </c>
      <c r="M46" s="4">
        <f t="shared" si="7"/>
        <v>56853.804476522419</v>
      </c>
      <c r="N46">
        <v>206</v>
      </c>
      <c r="O46">
        <v>0.46800000000000003</v>
      </c>
      <c r="Q46">
        <f t="shared" si="8"/>
        <v>603695.25866806391</v>
      </c>
      <c r="R46">
        <f t="shared" si="24"/>
        <v>582565.92461468163</v>
      </c>
      <c r="S46">
        <f t="shared" si="9"/>
        <v>27950.704550022925</v>
      </c>
      <c r="T46">
        <f t="shared" si="10"/>
        <v>11724.93</v>
      </c>
      <c r="V46">
        <f t="shared" si="11"/>
        <v>11716.691000000001</v>
      </c>
      <c r="W46">
        <f t="shared" si="12"/>
        <v>1861.1000000000001</v>
      </c>
      <c r="Y46">
        <f t="shared" si="13"/>
        <v>98614.077412398066</v>
      </c>
      <c r="Z46">
        <f t="shared" si="14"/>
        <v>99797.446341346847</v>
      </c>
      <c r="AA46">
        <f t="shared" si="15"/>
        <v>4298.0185844394791</v>
      </c>
      <c r="AB46">
        <f t="shared" si="23"/>
        <v>5024.97</v>
      </c>
      <c r="AC46">
        <f t="shared" si="27"/>
        <v>1.012</v>
      </c>
      <c r="AD46">
        <f t="shared" si="17"/>
        <v>56865.50711052143</v>
      </c>
      <c r="AE46">
        <f t="shared" si="18"/>
        <v>56734</v>
      </c>
      <c r="AF46">
        <f t="shared" si="19"/>
        <v>-2.3179594338743992E-3</v>
      </c>
      <c r="AI46">
        <f t="shared" si="28"/>
        <v>11482.165948588372</v>
      </c>
      <c r="AJ46">
        <f t="shared" si="21"/>
        <v>6586.1930298270372</v>
      </c>
      <c r="AM46">
        <f t="shared" si="22"/>
        <v>6233.2796120000003</v>
      </c>
    </row>
    <row r="47" spans="1:39" x14ac:dyDescent="0.2">
      <c r="A47" t="s">
        <v>105</v>
      </c>
      <c r="B47" t="s">
        <v>112</v>
      </c>
      <c r="C47" t="s">
        <v>92</v>
      </c>
      <c r="D47">
        <v>101018.5</v>
      </c>
      <c r="E47">
        <v>974897.12100000004</v>
      </c>
      <c r="F47">
        <v>64449</v>
      </c>
      <c r="G47">
        <v>18611</v>
      </c>
      <c r="H47">
        <v>19431.433000000001</v>
      </c>
      <c r="I47">
        <v>0.96499999999999997</v>
      </c>
      <c r="J47">
        <v>2.5000000000000001E-2</v>
      </c>
      <c r="K47">
        <v>38.808999999999997</v>
      </c>
      <c r="L47">
        <v>30</v>
      </c>
      <c r="M47" s="4">
        <f t="shared" si="7"/>
        <v>64568.546476522417</v>
      </c>
      <c r="N47">
        <v>207</v>
      </c>
      <c r="O47">
        <v>0.46800000000000003</v>
      </c>
      <c r="Q47">
        <f t="shared" si="8"/>
        <v>603695.25866806391</v>
      </c>
      <c r="R47">
        <f t="shared" si="24"/>
        <v>582565.92461468163</v>
      </c>
      <c r="S47">
        <f t="shared" si="9"/>
        <v>27950.704550022925</v>
      </c>
      <c r="T47">
        <f t="shared" si="10"/>
        <v>11724.93</v>
      </c>
      <c r="V47">
        <f t="shared" si="11"/>
        <v>19431.433000000001</v>
      </c>
      <c r="W47">
        <f t="shared" si="12"/>
        <v>1861.1000000000001</v>
      </c>
      <c r="Y47">
        <f t="shared" si="13"/>
        <v>98614.077412398066</v>
      </c>
      <c r="Z47">
        <f t="shared" si="14"/>
        <v>99797.446341346847</v>
      </c>
      <c r="AA47">
        <f t="shared" si="15"/>
        <v>4298.0185844394791</v>
      </c>
      <c r="AB47">
        <f t="shared" si="23"/>
        <v>5024.97</v>
      </c>
      <c r="AC47">
        <f t="shared" si="27"/>
        <v>1.012</v>
      </c>
      <c r="AD47">
        <f t="shared" si="17"/>
        <v>64580.249110521429</v>
      </c>
      <c r="AE47">
        <f t="shared" si="18"/>
        <v>64449</v>
      </c>
      <c r="AF47">
        <f t="shared" si="19"/>
        <v>-2.0364801706997553E-3</v>
      </c>
      <c r="AI47">
        <f t="shared" si="28"/>
        <v>11482.165948588372</v>
      </c>
      <c r="AJ47">
        <f t="shared" si="21"/>
        <v>6586.1930298270372</v>
      </c>
      <c r="AM47">
        <f t="shared" si="22"/>
        <v>10337.522356000001</v>
      </c>
    </row>
    <row r="48" spans="1:39" x14ac:dyDescent="0.2">
      <c r="A48" t="s">
        <v>105</v>
      </c>
      <c r="B48" t="s">
        <v>113</v>
      </c>
      <c r="C48" t="s">
        <v>92</v>
      </c>
      <c r="D48">
        <v>41078.1</v>
      </c>
      <c r="E48">
        <v>974897.12100000004</v>
      </c>
      <c r="F48">
        <v>67034</v>
      </c>
      <c r="G48">
        <v>18611</v>
      </c>
      <c r="H48">
        <v>22016.967000000001</v>
      </c>
      <c r="I48">
        <v>0.96499999999999997</v>
      </c>
      <c r="J48">
        <v>2.5000000000000001E-2</v>
      </c>
      <c r="K48">
        <v>38.988</v>
      </c>
      <c r="L48">
        <v>30</v>
      </c>
      <c r="M48" s="4">
        <f t="shared" si="7"/>
        <v>67154.080476522417</v>
      </c>
      <c r="N48">
        <v>208</v>
      </c>
      <c r="O48">
        <v>0.46800000000000003</v>
      </c>
      <c r="Q48">
        <f t="shared" si="8"/>
        <v>603695.25866806391</v>
      </c>
      <c r="R48">
        <f t="shared" si="24"/>
        <v>582565.92461468163</v>
      </c>
      <c r="S48">
        <f t="shared" si="9"/>
        <v>27950.704550022925</v>
      </c>
      <c r="T48">
        <f t="shared" si="10"/>
        <v>11724.93</v>
      </c>
      <c r="V48">
        <f t="shared" si="11"/>
        <v>22016.967000000001</v>
      </c>
      <c r="W48">
        <f t="shared" si="12"/>
        <v>1861.1000000000001</v>
      </c>
      <c r="Y48">
        <f t="shared" si="13"/>
        <v>98614.077412398066</v>
      </c>
      <c r="Z48">
        <f t="shared" si="14"/>
        <v>99797.446341346847</v>
      </c>
      <c r="AA48">
        <f t="shared" si="15"/>
        <v>4298.0185844394791</v>
      </c>
      <c r="AB48">
        <f t="shared" si="23"/>
        <v>5024.97</v>
      </c>
      <c r="AC48">
        <f t="shared" si="27"/>
        <v>1.012</v>
      </c>
      <c r="AD48">
        <f t="shared" si="17"/>
        <v>67165.783110521428</v>
      </c>
      <c r="AE48">
        <f t="shared" si="18"/>
        <v>67034</v>
      </c>
      <c r="AF48">
        <f t="shared" si="19"/>
        <v>-1.9659144690966999E-3</v>
      </c>
      <c r="AI48">
        <f t="shared" si="28"/>
        <v>11482.165948588372</v>
      </c>
      <c r="AJ48">
        <f t="shared" si="21"/>
        <v>6586.1930298270372</v>
      </c>
      <c r="AM48">
        <f t="shared" si="22"/>
        <v>11713.026444000001</v>
      </c>
    </row>
    <row r="49" spans="1:39" x14ac:dyDescent="0.2">
      <c r="A49" t="s">
        <v>114</v>
      </c>
      <c r="B49" t="s">
        <v>115</v>
      </c>
      <c r="C49" t="s">
        <v>92</v>
      </c>
      <c r="D49">
        <v>2568.9</v>
      </c>
      <c r="E49">
        <v>974897.12100000004</v>
      </c>
      <c r="F49">
        <v>48632</v>
      </c>
      <c r="G49">
        <v>18611</v>
      </c>
      <c r="H49">
        <v>3088.0720000000001</v>
      </c>
      <c r="I49">
        <v>0.97699999999999998</v>
      </c>
      <c r="J49">
        <v>2.5000000000000001E-2</v>
      </c>
      <c r="K49">
        <v>33.186999999999998</v>
      </c>
      <c r="L49">
        <v>30</v>
      </c>
      <c r="M49" s="4">
        <f t="shared" si="7"/>
        <v>48786.476006800411</v>
      </c>
      <c r="N49">
        <v>222</v>
      </c>
      <c r="O49">
        <v>0.46800000000000003</v>
      </c>
      <c r="Q49">
        <f t="shared" si="8"/>
        <v>603695.25866806391</v>
      </c>
      <c r="R49">
        <f t="shared" si="24"/>
        <v>589810.26771869848</v>
      </c>
      <c r="S49">
        <f t="shared" si="9"/>
        <v>28298.278078106116</v>
      </c>
      <c r="T49">
        <f t="shared" si="10"/>
        <v>11724.93</v>
      </c>
      <c r="V49">
        <f t="shared" si="11"/>
        <v>3088.0720000000001</v>
      </c>
      <c r="W49">
        <f t="shared" si="12"/>
        <v>1861.1000000000001</v>
      </c>
      <c r="Y49">
        <f t="shared" si="13"/>
        <v>98614.077412398066</v>
      </c>
      <c r="Z49">
        <f t="shared" si="14"/>
        <v>97726.550715686477</v>
      </c>
      <c r="AA49">
        <f t="shared" si="15"/>
        <v>4208.830451758422</v>
      </c>
      <c r="AB49">
        <f t="shared" si="23"/>
        <v>5024.97</v>
      </c>
      <c r="AC49">
        <f>$G$151</f>
        <v>0.99099999999999999</v>
      </c>
      <c r="AD49">
        <f t="shared" si="17"/>
        <v>48639.840836995965</v>
      </c>
      <c r="AE49">
        <f t="shared" si="18"/>
        <v>48632</v>
      </c>
      <c r="AF49">
        <f t="shared" si="19"/>
        <v>-1.6122793625524798E-4</v>
      </c>
      <c r="AI49">
        <f>$I$169</f>
        <v>11243.899659141378</v>
      </c>
      <c r="AJ49">
        <f t="shared" si="21"/>
        <v>6586.1930298270372</v>
      </c>
      <c r="AM49">
        <f t="shared" si="22"/>
        <v>1642.8543040000002</v>
      </c>
    </row>
    <row r="50" spans="1:39" x14ac:dyDescent="0.2">
      <c r="A50" t="s">
        <v>114</v>
      </c>
      <c r="B50" t="s">
        <v>116</v>
      </c>
      <c r="C50" t="s">
        <v>92</v>
      </c>
      <c r="D50">
        <v>4181.2</v>
      </c>
      <c r="E50">
        <v>974897.12100000004</v>
      </c>
      <c r="F50">
        <v>47780</v>
      </c>
      <c r="G50">
        <v>18611</v>
      </c>
      <c r="H50">
        <v>2236.0810000000001</v>
      </c>
      <c r="I50">
        <v>0.97699999999999998</v>
      </c>
      <c r="J50">
        <v>2.5000000000000001E-2</v>
      </c>
      <c r="K50">
        <v>34.494</v>
      </c>
      <c r="L50">
        <v>30</v>
      </c>
      <c r="M50" s="4">
        <f t="shared" si="7"/>
        <v>47934.485006800409</v>
      </c>
      <c r="N50">
        <v>223</v>
      </c>
      <c r="O50">
        <v>0.46800000000000003</v>
      </c>
      <c r="Q50">
        <f t="shared" si="8"/>
        <v>603695.25866806391</v>
      </c>
      <c r="R50">
        <f t="shared" si="24"/>
        <v>589810.26771869848</v>
      </c>
      <c r="S50">
        <f t="shared" si="9"/>
        <v>28298.278078106116</v>
      </c>
      <c r="T50">
        <f t="shared" si="10"/>
        <v>11724.93</v>
      </c>
      <c r="V50">
        <f t="shared" si="11"/>
        <v>2236.0810000000001</v>
      </c>
      <c r="W50">
        <f t="shared" si="12"/>
        <v>1861.1000000000001</v>
      </c>
      <c r="Y50">
        <f t="shared" si="13"/>
        <v>98614.077412398066</v>
      </c>
      <c r="Z50">
        <f t="shared" si="14"/>
        <v>97726.550715686477</v>
      </c>
      <c r="AA50">
        <f t="shared" si="15"/>
        <v>4208.830451758422</v>
      </c>
      <c r="AB50">
        <f t="shared" si="23"/>
        <v>5024.97</v>
      </c>
      <c r="AC50">
        <f t="shared" ref="AC50:AC54" si="29">$G$151</f>
        <v>0.99099999999999999</v>
      </c>
      <c r="AD50">
        <f t="shared" si="17"/>
        <v>47787.849836995971</v>
      </c>
      <c r="AE50">
        <f t="shared" si="18"/>
        <v>47780</v>
      </c>
      <c r="AF50">
        <f t="shared" si="19"/>
        <v>-1.6429127241462309E-4</v>
      </c>
      <c r="AI50">
        <f t="shared" ref="AI50:AI54" si="30">$I$169</f>
        <v>11243.899659141378</v>
      </c>
      <c r="AJ50">
        <f t="shared" si="21"/>
        <v>6586.1930298270372</v>
      </c>
      <c r="AM50">
        <f t="shared" si="22"/>
        <v>1189.595092</v>
      </c>
    </row>
    <row r="51" spans="1:39" x14ac:dyDescent="0.2">
      <c r="A51" t="s">
        <v>114</v>
      </c>
      <c r="B51" t="s">
        <v>117</v>
      </c>
      <c r="C51" t="s">
        <v>92</v>
      </c>
      <c r="D51">
        <v>44585.4</v>
      </c>
      <c r="E51">
        <v>974897.12100000004</v>
      </c>
      <c r="F51">
        <v>52196</v>
      </c>
      <c r="G51">
        <v>18611</v>
      </c>
      <c r="H51">
        <v>6652.3</v>
      </c>
      <c r="I51">
        <v>0.97699999999999998</v>
      </c>
      <c r="J51">
        <v>2.5000000000000001E-2</v>
      </c>
      <c r="K51">
        <v>36.348999999999997</v>
      </c>
      <c r="L51">
        <v>30</v>
      </c>
      <c r="M51" s="4">
        <f t="shared" si="7"/>
        <v>52350.704006800413</v>
      </c>
      <c r="N51">
        <v>224</v>
      </c>
      <c r="O51">
        <v>0.46800000000000003</v>
      </c>
      <c r="Q51">
        <f t="shared" si="8"/>
        <v>603695.25866806391</v>
      </c>
      <c r="R51">
        <f t="shared" si="24"/>
        <v>589810.26771869848</v>
      </c>
      <c r="S51">
        <f t="shared" si="9"/>
        <v>28298.278078106116</v>
      </c>
      <c r="T51">
        <f t="shared" si="10"/>
        <v>11724.93</v>
      </c>
      <c r="V51">
        <f t="shared" si="11"/>
        <v>6652.3</v>
      </c>
      <c r="W51">
        <f t="shared" si="12"/>
        <v>1861.1000000000001</v>
      </c>
      <c r="Y51">
        <f t="shared" si="13"/>
        <v>98614.077412398066</v>
      </c>
      <c r="Z51">
        <f t="shared" si="14"/>
        <v>97726.550715686477</v>
      </c>
      <c r="AA51">
        <f t="shared" si="15"/>
        <v>4208.830451758422</v>
      </c>
      <c r="AB51">
        <f t="shared" si="23"/>
        <v>5024.97</v>
      </c>
      <c r="AC51">
        <f t="shared" si="29"/>
        <v>0.99099999999999999</v>
      </c>
      <c r="AD51">
        <f t="shared" si="17"/>
        <v>52204.068836995968</v>
      </c>
      <c r="AE51">
        <f t="shared" si="18"/>
        <v>52196</v>
      </c>
      <c r="AF51">
        <f t="shared" si="19"/>
        <v>-1.54587267146295E-4</v>
      </c>
      <c r="AI51">
        <f t="shared" si="30"/>
        <v>11243.899659141378</v>
      </c>
      <c r="AJ51">
        <f t="shared" si="21"/>
        <v>6586.1930298270372</v>
      </c>
      <c r="AM51">
        <f t="shared" si="22"/>
        <v>3539.0236000000004</v>
      </c>
    </row>
    <row r="52" spans="1:39" x14ac:dyDescent="0.2">
      <c r="A52" t="s">
        <v>114</v>
      </c>
      <c r="B52" t="s">
        <v>118</v>
      </c>
      <c r="C52" t="s">
        <v>92</v>
      </c>
      <c r="D52">
        <v>20252.599999999999</v>
      </c>
      <c r="E52">
        <v>974897.12100000004</v>
      </c>
      <c r="F52">
        <v>55380</v>
      </c>
      <c r="G52">
        <v>18611</v>
      </c>
      <c r="H52">
        <v>9836.2430000000004</v>
      </c>
      <c r="I52">
        <v>0.97699999999999998</v>
      </c>
      <c r="J52">
        <v>2.5000000000000001E-2</v>
      </c>
      <c r="K52">
        <v>36.509</v>
      </c>
      <c r="L52">
        <v>30</v>
      </c>
      <c r="M52" s="4">
        <f t="shared" si="7"/>
        <v>55534.647006800413</v>
      </c>
      <c r="N52">
        <v>225</v>
      </c>
      <c r="O52">
        <v>0.46800000000000003</v>
      </c>
      <c r="Q52">
        <f t="shared" si="8"/>
        <v>603695.25866806391</v>
      </c>
      <c r="R52">
        <f t="shared" si="24"/>
        <v>589810.26771869848</v>
      </c>
      <c r="S52">
        <f t="shared" si="9"/>
        <v>28298.278078106116</v>
      </c>
      <c r="T52">
        <f t="shared" si="10"/>
        <v>11724.93</v>
      </c>
      <c r="V52">
        <f t="shared" si="11"/>
        <v>9836.2430000000004</v>
      </c>
      <c r="W52">
        <f t="shared" si="12"/>
        <v>1861.1000000000001</v>
      </c>
      <c r="Y52">
        <f t="shared" si="13"/>
        <v>98614.077412398066</v>
      </c>
      <c r="Z52">
        <f t="shared" si="14"/>
        <v>97726.550715686477</v>
      </c>
      <c r="AA52">
        <f t="shared" si="15"/>
        <v>4208.830451758422</v>
      </c>
      <c r="AB52">
        <f t="shared" si="23"/>
        <v>5024.97</v>
      </c>
      <c r="AC52">
        <f t="shared" si="29"/>
        <v>0.99099999999999999</v>
      </c>
      <c r="AD52">
        <f t="shared" si="17"/>
        <v>55388.011836995967</v>
      </c>
      <c r="AE52">
        <f t="shared" si="18"/>
        <v>55380</v>
      </c>
      <c r="AF52">
        <f t="shared" si="19"/>
        <v>-1.4467022383472941E-4</v>
      </c>
      <c r="AI52">
        <f t="shared" si="30"/>
        <v>11243.899659141378</v>
      </c>
      <c r="AJ52">
        <f t="shared" si="21"/>
        <v>6586.1930298270372</v>
      </c>
      <c r="AM52">
        <f t="shared" si="22"/>
        <v>5232.8812760000001</v>
      </c>
    </row>
    <row r="53" spans="1:39" x14ac:dyDescent="0.2">
      <c r="A53" t="s">
        <v>114</v>
      </c>
      <c r="B53" t="s">
        <v>119</v>
      </c>
      <c r="C53" t="s">
        <v>92</v>
      </c>
      <c r="D53">
        <v>108475.3</v>
      </c>
      <c r="E53">
        <v>974897.12100000004</v>
      </c>
      <c r="F53">
        <v>58534</v>
      </c>
      <c r="G53">
        <v>18611</v>
      </c>
      <c r="H53">
        <v>12990.508</v>
      </c>
      <c r="I53">
        <v>0.97699999999999998</v>
      </c>
      <c r="J53">
        <v>2.5000000000000001E-2</v>
      </c>
      <c r="K53">
        <v>38.628</v>
      </c>
      <c r="L53">
        <v>30</v>
      </c>
      <c r="M53" s="4">
        <f t="shared" si="7"/>
        <v>58688.912006800412</v>
      </c>
      <c r="N53">
        <v>226</v>
      </c>
      <c r="O53">
        <v>0.46800000000000003</v>
      </c>
      <c r="Q53">
        <f t="shared" si="8"/>
        <v>603695.25866806391</v>
      </c>
      <c r="R53">
        <f t="shared" si="24"/>
        <v>589810.26771869848</v>
      </c>
      <c r="S53">
        <f t="shared" si="9"/>
        <v>28298.278078106116</v>
      </c>
      <c r="T53">
        <f t="shared" si="10"/>
        <v>11724.93</v>
      </c>
      <c r="V53">
        <f t="shared" si="11"/>
        <v>12990.508</v>
      </c>
      <c r="W53">
        <f t="shared" si="12"/>
        <v>1861.1000000000001</v>
      </c>
      <c r="Y53">
        <f t="shared" si="13"/>
        <v>98614.077412398066</v>
      </c>
      <c r="Z53">
        <f t="shared" si="14"/>
        <v>97726.550715686477</v>
      </c>
      <c r="AA53">
        <f t="shared" si="15"/>
        <v>4208.830451758422</v>
      </c>
      <c r="AB53">
        <f t="shared" si="23"/>
        <v>5024.97</v>
      </c>
      <c r="AC53">
        <f t="shared" si="29"/>
        <v>0.99099999999999999</v>
      </c>
      <c r="AD53">
        <f t="shared" si="17"/>
        <v>58542.276836995967</v>
      </c>
      <c r="AE53">
        <f t="shared" si="18"/>
        <v>58534</v>
      </c>
      <c r="AF53">
        <f t="shared" si="19"/>
        <v>-1.4140221061206704E-4</v>
      </c>
      <c r="AI53">
        <f t="shared" si="30"/>
        <v>11243.899659141378</v>
      </c>
      <c r="AJ53">
        <f t="shared" si="21"/>
        <v>6586.1930298270372</v>
      </c>
      <c r="AM53">
        <f t="shared" si="22"/>
        <v>6910.9502560000001</v>
      </c>
    </row>
    <row r="54" spans="1:39" x14ac:dyDescent="0.2">
      <c r="A54" t="s">
        <v>114</v>
      </c>
      <c r="B54" t="s">
        <v>120</v>
      </c>
      <c r="C54" t="s">
        <v>92</v>
      </c>
      <c r="D54">
        <v>33490.800000000003</v>
      </c>
      <c r="E54">
        <v>974897.12100000004</v>
      </c>
      <c r="F54">
        <v>63336</v>
      </c>
      <c r="G54">
        <v>18611</v>
      </c>
      <c r="H54">
        <v>17792.154999999999</v>
      </c>
      <c r="I54">
        <v>0.97699999999999998</v>
      </c>
      <c r="J54">
        <v>2.5000000000000001E-2</v>
      </c>
      <c r="K54">
        <v>38.853999999999999</v>
      </c>
      <c r="L54">
        <v>30</v>
      </c>
      <c r="M54" s="4">
        <f t="shared" si="7"/>
        <v>63490.559006800409</v>
      </c>
      <c r="N54">
        <v>227</v>
      </c>
      <c r="O54">
        <v>0.46800000000000003</v>
      </c>
      <c r="Q54">
        <f t="shared" si="8"/>
        <v>603695.25866806391</v>
      </c>
      <c r="R54">
        <f t="shared" si="24"/>
        <v>589810.26771869848</v>
      </c>
      <c r="S54">
        <f t="shared" si="9"/>
        <v>28298.278078106116</v>
      </c>
      <c r="T54">
        <f t="shared" si="10"/>
        <v>11724.93</v>
      </c>
      <c r="V54">
        <f t="shared" si="11"/>
        <v>17792.154999999999</v>
      </c>
      <c r="W54">
        <f t="shared" si="12"/>
        <v>1861.1000000000001</v>
      </c>
      <c r="Y54">
        <f t="shared" si="13"/>
        <v>98614.077412398066</v>
      </c>
      <c r="Z54">
        <f t="shared" si="14"/>
        <v>97726.550715686477</v>
      </c>
      <c r="AA54">
        <f t="shared" si="15"/>
        <v>4208.830451758422</v>
      </c>
      <c r="AB54">
        <f t="shared" si="23"/>
        <v>5024.97</v>
      </c>
      <c r="AC54">
        <f t="shared" si="29"/>
        <v>0.99099999999999999</v>
      </c>
      <c r="AD54">
        <f t="shared" si="17"/>
        <v>63343.923836995964</v>
      </c>
      <c r="AE54">
        <f t="shared" si="18"/>
        <v>63336</v>
      </c>
      <c r="AF54">
        <f t="shared" si="19"/>
        <v>-1.2510794802267177E-4</v>
      </c>
      <c r="AI54">
        <f t="shared" si="30"/>
        <v>11243.899659141378</v>
      </c>
      <c r="AJ54">
        <f t="shared" si="21"/>
        <v>6586.1930298270372</v>
      </c>
      <c r="AM54">
        <f t="shared" si="22"/>
        <v>9465.4264600000006</v>
      </c>
    </row>
    <row r="55" spans="1:39" x14ac:dyDescent="0.2">
      <c r="A55" t="s">
        <v>121</v>
      </c>
      <c r="B55" t="s">
        <v>122</v>
      </c>
      <c r="C55" t="s">
        <v>92</v>
      </c>
      <c r="D55">
        <v>5585.6</v>
      </c>
      <c r="E55">
        <v>974897.12100000004</v>
      </c>
      <c r="F55">
        <v>49097</v>
      </c>
      <c r="G55">
        <v>18611</v>
      </c>
      <c r="H55">
        <v>3133.5360000000001</v>
      </c>
      <c r="I55">
        <v>0.98599999999999999</v>
      </c>
      <c r="J55">
        <v>2.5000000000000001E-2</v>
      </c>
      <c r="K55">
        <v>35.874000000000002</v>
      </c>
      <c r="L55">
        <v>30</v>
      </c>
      <c r="M55" s="4">
        <f t="shared" si="7"/>
        <v>49252.907904508917</v>
      </c>
      <c r="N55">
        <v>247</v>
      </c>
      <c r="O55">
        <v>0.46800000000000003</v>
      </c>
      <c r="Q55">
        <f t="shared" si="8"/>
        <v>603695.25866806391</v>
      </c>
      <c r="R55">
        <f t="shared" si="24"/>
        <v>595243.52504671097</v>
      </c>
      <c r="S55">
        <f t="shared" si="9"/>
        <v>28558.958224168502</v>
      </c>
      <c r="T55">
        <f t="shared" si="10"/>
        <v>11724.93</v>
      </c>
      <c r="V55">
        <f t="shared" si="11"/>
        <v>3133.5360000000001</v>
      </c>
      <c r="W55">
        <f t="shared" si="12"/>
        <v>1861.1000000000001</v>
      </c>
      <c r="Y55">
        <f t="shared" si="13"/>
        <v>98614.077412398066</v>
      </c>
      <c r="Z55">
        <f t="shared" si="14"/>
        <v>101671.1138121824</v>
      </c>
      <c r="AA55">
        <f t="shared" si="15"/>
        <v>4378.7126092461494</v>
      </c>
      <c r="AB55">
        <f t="shared" si="23"/>
        <v>5024.97</v>
      </c>
      <c r="AC55">
        <f>$G$152</f>
        <v>1.0309999999999999</v>
      </c>
      <c r="AD55">
        <f t="shared" si="17"/>
        <v>49250.600778516891</v>
      </c>
      <c r="AE55">
        <f t="shared" si="18"/>
        <v>49097</v>
      </c>
      <c r="AF55">
        <f t="shared" si="19"/>
        <v>-3.1285165797684442E-3</v>
      </c>
      <c r="AI55">
        <f>$I$170</f>
        <v>11697.740210468979</v>
      </c>
      <c r="AJ55">
        <f t="shared" si="21"/>
        <v>6586.1930298270372</v>
      </c>
      <c r="AM55">
        <f t="shared" si="22"/>
        <v>1667.041152</v>
      </c>
    </row>
    <row r="56" spans="1:39" x14ac:dyDescent="0.2">
      <c r="A56" t="s">
        <v>121</v>
      </c>
      <c r="B56" t="s">
        <v>123</v>
      </c>
      <c r="C56" t="s">
        <v>92</v>
      </c>
      <c r="D56">
        <v>8675.4</v>
      </c>
      <c r="E56">
        <v>974897.12100000004</v>
      </c>
      <c r="F56">
        <v>51404</v>
      </c>
      <c r="G56">
        <v>18611</v>
      </c>
      <c r="H56">
        <v>5440.0640000000003</v>
      </c>
      <c r="I56">
        <v>0.98599999999999999</v>
      </c>
      <c r="J56">
        <v>2.5000000000000001E-2</v>
      </c>
      <c r="K56">
        <v>36.023000000000003</v>
      </c>
      <c r="L56">
        <v>30</v>
      </c>
      <c r="M56" s="4">
        <f t="shared" si="7"/>
        <v>51559.435904508915</v>
      </c>
      <c r="N56">
        <v>248</v>
      </c>
      <c r="O56">
        <v>0.46800000000000003</v>
      </c>
      <c r="Q56">
        <f t="shared" si="8"/>
        <v>603695.25866806391</v>
      </c>
      <c r="R56">
        <f t="shared" si="24"/>
        <v>595243.52504671097</v>
      </c>
      <c r="S56">
        <f t="shared" si="9"/>
        <v>28558.958224168502</v>
      </c>
      <c r="T56">
        <f t="shared" si="10"/>
        <v>11724.93</v>
      </c>
      <c r="V56">
        <f t="shared" si="11"/>
        <v>5440.0640000000003</v>
      </c>
      <c r="W56">
        <f t="shared" si="12"/>
        <v>1861.1000000000001</v>
      </c>
      <c r="Y56">
        <f t="shared" si="13"/>
        <v>98614.077412398066</v>
      </c>
      <c r="Z56">
        <f t="shared" si="14"/>
        <v>101671.1138121824</v>
      </c>
      <c r="AA56">
        <f t="shared" si="15"/>
        <v>4378.7126092461494</v>
      </c>
      <c r="AB56">
        <f t="shared" si="23"/>
        <v>5024.97</v>
      </c>
      <c r="AC56">
        <f t="shared" ref="AC56:AC58" si="31">$G$152</f>
        <v>1.0309999999999999</v>
      </c>
      <c r="AD56">
        <f t="shared" si="17"/>
        <v>51557.12877851689</v>
      </c>
      <c r="AE56">
        <f t="shared" si="18"/>
        <v>51404</v>
      </c>
      <c r="AF56">
        <f t="shared" si="19"/>
        <v>-2.9789272919790236E-3</v>
      </c>
      <c r="AI56">
        <f t="shared" ref="AI56:AI58" si="32">$I$170</f>
        <v>11697.740210468979</v>
      </c>
      <c r="AJ56">
        <f t="shared" si="21"/>
        <v>6586.1930298270372</v>
      </c>
      <c r="AM56">
        <f t="shared" si="22"/>
        <v>2894.1140480000004</v>
      </c>
    </row>
    <row r="57" spans="1:39" x14ac:dyDescent="0.2">
      <c r="A57" t="s">
        <v>121</v>
      </c>
      <c r="B57" t="s">
        <v>124</v>
      </c>
      <c r="C57" t="s">
        <v>92</v>
      </c>
      <c r="D57">
        <v>30169.4</v>
      </c>
      <c r="E57">
        <v>974897.12100000004</v>
      </c>
      <c r="F57">
        <v>55394</v>
      </c>
      <c r="G57">
        <v>18611</v>
      </c>
      <c r="H57">
        <v>9430.2199999999993</v>
      </c>
      <c r="I57">
        <v>0.98599999999999999</v>
      </c>
      <c r="J57">
        <v>2.5000000000000001E-2</v>
      </c>
      <c r="K57">
        <v>38.847000000000001</v>
      </c>
      <c r="L57">
        <v>30</v>
      </c>
      <c r="M57" s="4">
        <f t="shared" si="7"/>
        <v>55549.591904508918</v>
      </c>
      <c r="N57">
        <v>249</v>
      </c>
      <c r="O57">
        <v>0.46800000000000003</v>
      </c>
      <c r="Q57">
        <f t="shared" si="8"/>
        <v>603695.25866806391</v>
      </c>
      <c r="R57">
        <f t="shared" si="24"/>
        <v>595243.52504671097</v>
      </c>
      <c r="S57">
        <f t="shared" si="9"/>
        <v>28558.958224168502</v>
      </c>
      <c r="T57">
        <f t="shared" si="10"/>
        <v>11724.93</v>
      </c>
      <c r="V57">
        <f t="shared" si="11"/>
        <v>9430.2199999999993</v>
      </c>
      <c r="W57">
        <f t="shared" si="12"/>
        <v>1861.1000000000001</v>
      </c>
      <c r="Y57">
        <f t="shared" si="13"/>
        <v>98614.077412398066</v>
      </c>
      <c r="Z57">
        <f t="shared" si="14"/>
        <v>101671.1138121824</v>
      </c>
      <c r="AA57">
        <f t="shared" si="15"/>
        <v>4378.7126092461494</v>
      </c>
      <c r="AB57">
        <f t="shared" si="23"/>
        <v>5024.97</v>
      </c>
      <c r="AC57">
        <f t="shared" si="31"/>
        <v>1.0309999999999999</v>
      </c>
      <c r="AD57">
        <f t="shared" si="17"/>
        <v>55547.284778516892</v>
      </c>
      <c r="AE57">
        <f t="shared" si="18"/>
        <v>55394</v>
      </c>
      <c r="AF57">
        <f t="shared" si="19"/>
        <v>-2.767172952249204E-3</v>
      </c>
      <c r="AI57">
        <f t="shared" si="32"/>
        <v>11697.740210468979</v>
      </c>
      <c r="AJ57">
        <f t="shared" si="21"/>
        <v>6586.1930298270372</v>
      </c>
      <c r="AM57">
        <f t="shared" si="22"/>
        <v>5016.8770400000003</v>
      </c>
    </row>
    <row r="58" spans="1:39" x14ac:dyDescent="0.2">
      <c r="A58" t="s">
        <v>121</v>
      </c>
      <c r="B58" t="s">
        <v>125</v>
      </c>
      <c r="C58" t="s">
        <v>92</v>
      </c>
      <c r="D58">
        <v>11437.7</v>
      </c>
      <c r="E58">
        <v>974897.12100000004</v>
      </c>
      <c r="F58">
        <v>58924</v>
      </c>
      <c r="G58">
        <v>18611</v>
      </c>
      <c r="H58">
        <v>12960.213</v>
      </c>
      <c r="I58">
        <v>0.98599999999999999</v>
      </c>
      <c r="J58">
        <v>2.5000000000000001E-2</v>
      </c>
      <c r="K58">
        <v>38.719000000000001</v>
      </c>
      <c r="L58">
        <v>30</v>
      </c>
      <c r="M58" s="4">
        <f t="shared" si="7"/>
        <v>59079.584904508913</v>
      </c>
      <c r="N58">
        <v>250</v>
      </c>
      <c r="O58">
        <v>0.46800000000000003</v>
      </c>
      <c r="Q58">
        <f t="shared" si="8"/>
        <v>603695.25866806391</v>
      </c>
      <c r="R58">
        <f t="shared" si="24"/>
        <v>595243.52504671097</v>
      </c>
      <c r="S58">
        <f t="shared" si="9"/>
        <v>28558.958224168502</v>
      </c>
      <c r="T58">
        <f t="shared" si="10"/>
        <v>11724.93</v>
      </c>
      <c r="V58">
        <f t="shared" si="11"/>
        <v>12960.213</v>
      </c>
      <c r="W58">
        <f t="shared" si="12"/>
        <v>1861.1000000000001</v>
      </c>
      <c r="Y58">
        <f t="shared" si="13"/>
        <v>98614.077412398066</v>
      </c>
      <c r="Z58">
        <f t="shared" si="14"/>
        <v>101671.1138121824</v>
      </c>
      <c r="AA58">
        <f t="shared" si="15"/>
        <v>4378.7126092461494</v>
      </c>
      <c r="AB58">
        <f t="shared" si="23"/>
        <v>5024.97</v>
      </c>
      <c r="AC58">
        <f t="shared" si="31"/>
        <v>1.0309999999999999</v>
      </c>
      <c r="AD58">
        <f t="shared" si="17"/>
        <v>59077.277778516887</v>
      </c>
      <c r="AE58">
        <f t="shared" si="18"/>
        <v>58924</v>
      </c>
      <c r="AF58">
        <f t="shared" si="19"/>
        <v>-2.6012792498283778E-3</v>
      </c>
      <c r="AI58">
        <f t="shared" si="32"/>
        <v>11697.740210468979</v>
      </c>
      <c r="AJ58">
        <f t="shared" si="21"/>
        <v>6586.1930298270372</v>
      </c>
      <c r="AM58">
        <f t="shared" si="22"/>
        <v>6894.8333160000002</v>
      </c>
    </row>
    <row r="59" spans="1:39" x14ac:dyDescent="0.2">
      <c r="A59" t="s">
        <v>126</v>
      </c>
      <c r="B59" t="s">
        <v>127</v>
      </c>
      <c r="C59" t="s">
        <v>92</v>
      </c>
      <c r="D59">
        <v>6954</v>
      </c>
      <c r="E59">
        <v>974897.12100000004</v>
      </c>
      <c r="F59">
        <v>56988</v>
      </c>
      <c r="G59">
        <v>18611</v>
      </c>
      <c r="H59">
        <v>7625.8530000000001</v>
      </c>
      <c r="I59">
        <v>1.0589999999999999</v>
      </c>
      <c r="J59">
        <v>2.5000000000000001E-2</v>
      </c>
      <c r="K59">
        <v>35.845999999999997</v>
      </c>
      <c r="L59">
        <v>30</v>
      </c>
      <c r="M59" s="4">
        <f t="shared" si="7"/>
        <v>57159.742297033408</v>
      </c>
      <c r="N59">
        <v>261</v>
      </c>
      <c r="O59">
        <v>0.46800000000000003</v>
      </c>
      <c r="Q59">
        <f t="shared" si="8"/>
        <v>603695.25866806391</v>
      </c>
      <c r="R59">
        <f t="shared" si="24"/>
        <v>639313.27892947965</v>
      </c>
      <c r="S59">
        <f t="shared" si="9"/>
        <v>30673.36385334122</v>
      </c>
      <c r="T59">
        <f t="shared" si="10"/>
        <v>11724.93</v>
      </c>
      <c r="V59">
        <f t="shared" si="11"/>
        <v>7625.8530000000001</v>
      </c>
      <c r="W59">
        <f t="shared" si="12"/>
        <v>1861.1000000000001</v>
      </c>
      <c r="Y59">
        <f t="shared" si="13"/>
        <v>98614.077412398066</v>
      </c>
      <c r="Z59">
        <f t="shared" si="14"/>
        <v>102755.86866371879</v>
      </c>
      <c r="AA59">
        <f t="shared" si="15"/>
        <v>4425.4302025552743</v>
      </c>
      <c r="AB59">
        <f t="shared" si="23"/>
        <v>5024.97</v>
      </c>
      <c r="AC59">
        <f>$G$153</f>
        <v>1.042</v>
      </c>
      <c r="AD59">
        <f t="shared" si="17"/>
        <v>56848.967679887632</v>
      </c>
      <c r="AE59">
        <f t="shared" si="18"/>
        <v>56988</v>
      </c>
      <c r="AF59">
        <f t="shared" si="19"/>
        <v>2.4396771269805631E-3</v>
      </c>
      <c r="AI59">
        <f>$I$171</f>
        <v>11822.546362084073</v>
      </c>
      <c r="AJ59">
        <f t="shared" si="21"/>
        <v>6586.1930298270372</v>
      </c>
      <c r="AM59">
        <f t="shared" si="22"/>
        <v>4056.9537960000002</v>
      </c>
    </row>
    <row r="60" spans="1:39" x14ac:dyDescent="0.2">
      <c r="A60" t="s">
        <v>126</v>
      </c>
      <c r="B60" t="s">
        <v>128</v>
      </c>
      <c r="C60" t="s">
        <v>92</v>
      </c>
      <c r="D60">
        <v>20320.2</v>
      </c>
      <c r="E60">
        <v>974897.12100000004</v>
      </c>
      <c r="F60">
        <v>54167</v>
      </c>
      <c r="G60">
        <v>18611</v>
      </c>
      <c r="H60">
        <v>4804.1760000000004</v>
      </c>
      <c r="I60">
        <v>1.0589999999999999</v>
      </c>
      <c r="J60">
        <v>2.5000000000000001E-2</v>
      </c>
      <c r="K60">
        <v>35.270000000000003</v>
      </c>
      <c r="L60">
        <v>30</v>
      </c>
      <c r="M60" s="4">
        <f t="shared" si="7"/>
        <v>54338.065297033405</v>
      </c>
      <c r="N60">
        <v>262</v>
      </c>
      <c r="O60">
        <v>0.46800000000000003</v>
      </c>
      <c r="Q60">
        <f t="shared" si="8"/>
        <v>603695.25866806391</v>
      </c>
      <c r="R60">
        <f t="shared" si="24"/>
        <v>639313.27892947965</v>
      </c>
      <c r="S60">
        <f t="shared" si="9"/>
        <v>30673.36385334122</v>
      </c>
      <c r="T60">
        <f t="shared" si="10"/>
        <v>11724.93</v>
      </c>
      <c r="V60">
        <f t="shared" si="11"/>
        <v>4804.1760000000004</v>
      </c>
      <c r="W60">
        <f t="shared" si="12"/>
        <v>1861.1000000000001</v>
      </c>
      <c r="Y60">
        <f t="shared" si="13"/>
        <v>98614.077412398066</v>
      </c>
      <c r="Z60">
        <f t="shared" si="14"/>
        <v>102755.86866371879</v>
      </c>
      <c r="AA60">
        <f t="shared" si="15"/>
        <v>4425.4302025552743</v>
      </c>
      <c r="AB60">
        <f t="shared" si="23"/>
        <v>5024.97</v>
      </c>
      <c r="AC60">
        <f t="shared" ref="AC60:AC62" si="33">$G$153</f>
        <v>1.042</v>
      </c>
      <c r="AD60">
        <f t="shared" si="17"/>
        <v>54027.290679887628</v>
      </c>
      <c r="AE60">
        <f t="shared" si="18"/>
        <v>54167</v>
      </c>
      <c r="AF60">
        <f t="shared" si="19"/>
        <v>2.5792331144861565E-3</v>
      </c>
      <c r="AI60">
        <f t="shared" ref="AI60:AI62" si="34">$I$171</f>
        <v>11822.546362084073</v>
      </c>
      <c r="AJ60">
        <f t="shared" si="21"/>
        <v>6586.1930298270372</v>
      </c>
      <c r="AM60">
        <f t="shared" si="22"/>
        <v>2555.8216320000001</v>
      </c>
    </row>
    <row r="61" spans="1:39" x14ac:dyDescent="0.2">
      <c r="A61" t="s">
        <v>126</v>
      </c>
      <c r="B61" t="s">
        <v>129</v>
      </c>
      <c r="C61" t="s">
        <v>92</v>
      </c>
      <c r="D61">
        <v>11694.2</v>
      </c>
      <c r="E61">
        <v>974897.12100000004</v>
      </c>
      <c r="F61">
        <v>67831</v>
      </c>
      <c r="G61">
        <v>18611</v>
      </c>
      <c r="H61">
        <v>18468.215</v>
      </c>
      <c r="I61">
        <v>1.0589999999999999</v>
      </c>
      <c r="J61">
        <v>2.5000000000000001E-2</v>
      </c>
      <c r="K61">
        <v>38.866</v>
      </c>
      <c r="L61">
        <v>30</v>
      </c>
      <c r="M61" s="4">
        <f t="shared" si="7"/>
        <v>68002.104297033409</v>
      </c>
      <c r="N61">
        <v>263</v>
      </c>
      <c r="O61">
        <v>0.46800000000000003</v>
      </c>
      <c r="Q61">
        <f t="shared" si="8"/>
        <v>603695.25866806391</v>
      </c>
      <c r="R61">
        <f t="shared" si="24"/>
        <v>639313.27892947965</v>
      </c>
      <c r="S61">
        <f t="shared" si="9"/>
        <v>30673.36385334122</v>
      </c>
      <c r="T61">
        <f t="shared" si="10"/>
        <v>11724.93</v>
      </c>
      <c r="V61">
        <f t="shared" si="11"/>
        <v>18468.215</v>
      </c>
      <c r="W61">
        <f t="shared" si="12"/>
        <v>1861.1000000000001</v>
      </c>
      <c r="Y61">
        <f t="shared" si="13"/>
        <v>98614.077412398066</v>
      </c>
      <c r="Z61">
        <f t="shared" si="14"/>
        <v>102755.86866371879</v>
      </c>
      <c r="AA61">
        <f t="shared" si="15"/>
        <v>4425.4302025552743</v>
      </c>
      <c r="AB61">
        <f t="shared" si="23"/>
        <v>5024.97</v>
      </c>
      <c r="AC61">
        <f t="shared" si="33"/>
        <v>1.042</v>
      </c>
      <c r="AD61">
        <f t="shared" si="17"/>
        <v>67691.329679887625</v>
      </c>
      <c r="AE61">
        <f t="shared" si="18"/>
        <v>67831</v>
      </c>
      <c r="AF61">
        <f t="shared" si="19"/>
        <v>2.0590927468616799E-3</v>
      </c>
      <c r="AI61">
        <f t="shared" si="34"/>
        <v>11822.546362084073</v>
      </c>
      <c r="AJ61">
        <f t="shared" si="21"/>
        <v>6586.1930298270372</v>
      </c>
      <c r="AM61">
        <f t="shared" si="22"/>
        <v>9825.0903800000015</v>
      </c>
    </row>
    <row r="62" spans="1:39" x14ac:dyDescent="0.2">
      <c r="A62" t="s">
        <v>126</v>
      </c>
      <c r="B62" t="s">
        <v>130</v>
      </c>
      <c r="C62" t="s">
        <v>92</v>
      </c>
      <c r="D62">
        <v>4762.7</v>
      </c>
      <c r="E62">
        <v>974897.12100000004</v>
      </c>
      <c r="F62">
        <v>65582</v>
      </c>
      <c r="G62">
        <v>18611</v>
      </c>
      <c r="H62">
        <v>16219.341</v>
      </c>
      <c r="I62">
        <v>1.0589999999999999</v>
      </c>
      <c r="J62">
        <v>2.5000000000000001E-2</v>
      </c>
      <c r="K62">
        <v>38.786000000000001</v>
      </c>
      <c r="L62">
        <v>30</v>
      </c>
      <c r="M62" s="4">
        <f t="shared" si="7"/>
        <v>65753.230297033413</v>
      </c>
      <c r="N62">
        <v>264</v>
      </c>
      <c r="O62">
        <v>0.46800000000000003</v>
      </c>
      <c r="Q62">
        <f t="shared" si="8"/>
        <v>603695.25866806391</v>
      </c>
      <c r="R62">
        <f t="shared" si="24"/>
        <v>639313.27892947965</v>
      </c>
      <c r="S62">
        <f t="shared" si="9"/>
        <v>30673.36385334122</v>
      </c>
      <c r="T62">
        <f t="shared" si="10"/>
        <v>11724.93</v>
      </c>
      <c r="V62">
        <f t="shared" si="11"/>
        <v>16219.341</v>
      </c>
      <c r="W62">
        <f t="shared" si="12"/>
        <v>1861.1000000000001</v>
      </c>
      <c r="Y62">
        <f t="shared" si="13"/>
        <v>98614.077412398066</v>
      </c>
      <c r="Z62">
        <f t="shared" si="14"/>
        <v>102755.86866371879</v>
      </c>
      <c r="AA62">
        <f t="shared" si="15"/>
        <v>4425.4302025552743</v>
      </c>
      <c r="AB62">
        <f t="shared" si="23"/>
        <v>5024.97</v>
      </c>
      <c r="AC62">
        <f t="shared" si="33"/>
        <v>1.042</v>
      </c>
      <c r="AD62">
        <f t="shared" si="17"/>
        <v>65442.455679887629</v>
      </c>
      <c r="AE62">
        <f t="shared" si="18"/>
        <v>65582</v>
      </c>
      <c r="AF62">
        <f t="shared" si="19"/>
        <v>2.1277838448411266E-3</v>
      </c>
      <c r="AI62">
        <f t="shared" si="34"/>
        <v>11822.546362084073</v>
      </c>
      <c r="AJ62">
        <f t="shared" si="21"/>
        <v>6586.1930298270372</v>
      </c>
      <c r="AM62">
        <f t="shared" si="22"/>
        <v>8628.6894120000015</v>
      </c>
    </row>
    <row r="63" spans="1:39" x14ac:dyDescent="0.2">
      <c r="A63" t="s">
        <v>131</v>
      </c>
      <c r="B63" t="s">
        <v>132</v>
      </c>
      <c r="C63" t="s">
        <v>92</v>
      </c>
      <c r="D63">
        <v>2685.9</v>
      </c>
      <c r="E63">
        <v>974897.12100000004</v>
      </c>
      <c r="F63">
        <v>48983</v>
      </c>
      <c r="G63">
        <v>18611</v>
      </c>
      <c r="H63">
        <v>2843.442</v>
      </c>
      <c r="I63">
        <v>0.98899999999999999</v>
      </c>
      <c r="J63">
        <v>2.5000000000000001E-2</v>
      </c>
      <c r="K63">
        <v>37.651000000000003</v>
      </c>
      <c r="L63">
        <v>30</v>
      </c>
      <c r="M63" s="4">
        <f t="shared" si="7"/>
        <v>49103.136537078419</v>
      </c>
      <c r="N63">
        <v>272</v>
      </c>
      <c r="O63">
        <v>0.46800000000000003</v>
      </c>
      <c r="Q63">
        <f t="shared" si="8"/>
        <v>603695.25866806391</v>
      </c>
      <c r="R63">
        <f t="shared" si="24"/>
        <v>597054.61082271521</v>
      </c>
      <c r="S63">
        <f t="shared" si="9"/>
        <v>28645.851606189302</v>
      </c>
      <c r="T63">
        <f t="shared" si="10"/>
        <v>11724.93</v>
      </c>
      <c r="V63">
        <f t="shared" si="11"/>
        <v>2843.442</v>
      </c>
      <c r="W63">
        <f t="shared" si="12"/>
        <v>1861.1000000000001</v>
      </c>
      <c r="Y63">
        <f t="shared" si="13"/>
        <v>98614.077412398066</v>
      </c>
      <c r="Z63">
        <f t="shared" si="14"/>
        <v>100980.81527029563</v>
      </c>
      <c r="AA63">
        <f t="shared" si="15"/>
        <v>4348.9832316857974</v>
      </c>
      <c r="AB63">
        <f t="shared" si="23"/>
        <v>5024.97</v>
      </c>
      <c r="AC63">
        <f>$G$154</f>
        <v>1.024</v>
      </c>
      <c r="AD63">
        <f t="shared" si="17"/>
        <v>49052.986799702107</v>
      </c>
      <c r="AE63">
        <f t="shared" si="18"/>
        <v>48983</v>
      </c>
      <c r="AF63">
        <f t="shared" si="19"/>
        <v>-1.4287977400752609E-3</v>
      </c>
      <c r="AI63">
        <f>$I$172</f>
        <v>11618.318113986648</v>
      </c>
      <c r="AJ63">
        <f t="shared" si="21"/>
        <v>6586.1930298270372</v>
      </c>
      <c r="AM63">
        <f t="shared" si="22"/>
        <v>1512.7111440000001</v>
      </c>
    </row>
    <row r="64" spans="1:39" x14ac:dyDescent="0.2">
      <c r="A64" t="s">
        <v>131</v>
      </c>
      <c r="B64" t="s">
        <v>133</v>
      </c>
      <c r="C64" t="s">
        <v>92</v>
      </c>
      <c r="D64">
        <v>74.5</v>
      </c>
      <c r="E64">
        <v>974897.12100000004</v>
      </c>
      <c r="F64">
        <v>51278</v>
      </c>
      <c r="G64">
        <v>18611</v>
      </c>
      <c r="H64">
        <v>5138.8220000000001</v>
      </c>
      <c r="I64">
        <v>0.98899999999999999</v>
      </c>
      <c r="J64">
        <v>2.5000000000000001E-2</v>
      </c>
      <c r="K64">
        <v>36.917000000000002</v>
      </c>
      <c r="L64">
        <v>30</v>
      </c>
      <c r="M64" s="4">
        <f t="shared" si="7"/>
        <v>51398.516537078416</v>
      </c>
      <c r="N64">
        <v>273</v>
      </c>
      <c r="O64">
        <v>0.46800000000000003</v>
      </c>
      <c r="Q64">
        <f t="shared" si="8"/>
        <v>603695.25866806391</v>
      </c>
      <c r="R64">
        <f t="shared" si="24"/>
        <v>597054.61082271521</v>
      </c>
      <c r="S64">
        <f t="shared" si="9"/>
        <v>28645.851606189302</v>
      </c>
      <c r="T64">
        <f t="shared" si="10"/>
        <v>11724.93</v>
      </c>
      <c r="V64">
        <f t="shared" si="11"/>
        <v>5138.8220000000001</v>
      </c>
      <c r="W64">
        <f t="shared" si="12"/>
        <v>1861.1000000000001</v>
      </c>
      <c r="Y64">
        <f t="shared" si="13"/>
        <v>98614.077412398066</v>
      </c>
      <c r="Z64">
        <f t="shared" si="14"/>
        <v>100980.81527029563</v>
      </c>
      <c r="AA64">
        <f t="shared" si="15"/>
        <v>4348.9832316857974</v>
      </c>
      <c r="AB64">
        <f t="shared" si="23"/>
        <v>5024.97</v>
      </c>
      <c r="AC64">
        <f t="shared" ref="AC64:AC66" si="35">$G$154</f>
        <v>1.024</v>
      </c>
      <c r="AD64">
        <f t="shared" si="17"/>
        <v>51348.366799702111</v>
      </c>
      <c r="AE64">
        <f t="shared" si="18"/>
        <v>51278</v>
      </c>
      <c r="AF64">
        <f t="shared" si="19"/>
        <v>-1.3722610028103898E-3</v>
      </c>
      <c r="AI64">
        <f t="shared" ref="AI64:AI66" si="36">$I$172</f>
        <v>11618.318113986648</v>
      </c>
      <c r="AJ64">
        <f t="shared" si="21"/>
        <v>6586.1930298270372</v>
      </c>
      <c r="AM64">
        <f t="shared" si="22"/>
        <v>2733.8533040000002</v>
      </c>
    </row>
    <row r="65" spans="1:39" x14ac:dyDescent="0.2">
      <c r="A65" t="s">
        <v>131</v>
      </c>
      <c r="B65" t="s">
        <v>134</v>
      </c>
      <c r="C65" t="s">
        <v>92</v>
      </c>
      <c r="D65">
        <v>43877.599999999999</v>
      </c>
      <c r="E65">
        <v>974897.12100000004</v>
      </c>
      <c r="F65">
        <v>52372</v>
      </c>
      <c r="G65">
        <v>18611</v>
      </c>
      <c r="H65">
        <v>6232.1480000000001</v>
      </c>
      <c r="I65">
        <v>0.98899999999999999</v>
      </c>
      <c r="J65">
        <v>2.5000000000000001E-2</v>
      </c>
      <c r="K65">
        <v>39.314</v>
      </c>
      <c r="L65">
        <v>30</v>
      </c>
      <c r="M65" s="4">
        <f t="shared" si="7"/>
        <v>52491.842537078417</v>
      </c>
      <c r="N65">
        <v>274</v>
      </c>
      <c r="O65">
        <v>0.46800000000000003</v>
      </c>
      <c r="Q65">
        <f t="shared" si="8"/>
        <v>603695.25866806391</v>
      </c>
      <c r="R65">
        <f t="shared" si="24"/>
        <v>597054.61082271521</v>
      </c>
      <c r="S65">
        <f t="shared" si="9"/>
        <v>28645.851606189302</v>
      </c>
      <c r="T65">
        <f t="shared" si="10"/>
        <v>11724.93</v>
      </c>
      <c r="V65">
        <f t="shared" si="11"/>
        <v>6232.1480000000001</v>
      </c>
      <c r="W65">
        <f t="shared" si="12"/>
        <v>1861.1000000000001</v>
      </c>
      <c r="Y65">
        <f t="shared" si="13"/>
        <v>98614.077412398066</v>
      </c>
      <c r="Z65">
        <f t="shared" si="14"/>
        <v>100980.81527029563</v>
      </c>
      <c r="AA65">
        <f t="shared" si="15"/>
        <v>4348.9832316857974</v>
      </c>
      <c r="AB65">
        <f t="shared" si="23"/>
        <v>5024.97</v>
      </c>
      <c r="AC65">
        <f t="shared" si="35"/>
        <v>1.024</v>
      </c>
      <c r="AD65">
        <f t="shared" si="17"/>
        <v>52441.692799702105</v>
      </c>
      <c r="AE65">
        <f t="shared" si="18"/>
        <v>52372</v>
      </c>
      <c r="AF65">
        <f t="shared" si="19"/>
        <v>-1.330726336632262E-3</v>
      </c>
      <c r="AI65">
        <f t="shared" si="36"/>
        <v>11618.318113986648</v>
      </c>
      <c r="AJ65">
        <f t="shared" si="21"/>
        <v>6586.1930298270372</v>
      </c>
      <c r="AM65">
        <f t="shared" si="22"/>
        <v>3315.5027360000004</v>
      </c>
    </row>
    <row r="66" spans="1:39" x14ac:dyDescent="0.2">
      <c r="A66" t="s">
        <v>131</v>
      </c>
      <c r="B66" t="s">
        <v>135</v>
      </c>
      <c r="C66" t="s">
        <v>92</v>
      </c>
      <c r="D66">
        <v>1442.5</v>
      </c>
      <c r="E66">
        <v>974897.12100000004</v>
      </c>
      <c r="F66">
        <v>48252</v>
      </c>
      <c r="G66">
        <v>18611</v>
      </c>
      <c r="H66">
        <v>2112.0949999999998</v>
      </c>
      <c r="I66">
        <v>0.98899999999999999</v>
      </c>
      <c r="J66">
        <v>2.5000000000000001E-2</v>
      </c>
      <c r="K66">
        <v>38.832999999999998</v>
      </c>
      <c r="L66">
        <v>30</v>
      </c>
      <c r="M66" s="4">
        <f t="shared" si="7"/>
        <v>48371.789537078417</v>
      </c>
      <c r="N66">
        <v>275</v>
      </c>
      <c r="O66">
        <v>0.46800000000000003</v>
      </c>
      <c r="Q66">
        <f t="shared" si="8"/>
        <v>603695.25866806391</v>
      </c>
      <c r="R66">
        <f t="shared" si="24"/>
        <v>597054.61082271521</v>
      </c>
      <c r="S66">
        <f t="shared" si="9"/>
        <v>28645.851606189302</v>
      </c>
      <c r="T66">
        <f t="shared" si="10"/>
        <v>11724.93</v>
      </c>
      <c r="V66">
        <f t="shared" si="11"/>
        <v>2112.0949999999998</v>
      </c>
      <c r="W66">
        <f t="shared" si="12"/>
        <v>1861.1000000000001</v>
      </c>
      <c r="Y66">
        <f t="shared" si="13"/>
        <v>98614.077412398066</v>
      </c>
      <c r="Z66">
        <f t="shared" si="14"/>
        <v>100980.81527029563</v>
      </c>
      <c r="AA66">
        <f t="shared" si="15"/>
        <v>4348.9832316857974</v>
      </c>
      <c r="AB66">
        <f t="shared" si="23"/>
        <v>5024.97</v>
      </c>
      <c r="AC66">
        <f t="shared" si="35"/>
        <v>1.024</v>
      </c>
      <c r="AD66">
        <f t="shared" si="17"/>
        <v>48321.639799702105</v>
      </c>
      <c r="AE66">
        <f t="shared" si="18"/>
        <v>48252</v>
      </c>
      <c r="AF66">
        <f t="shared" si="19"/>
        <v>-1.4432520870037498E-3</v>
      </c>
      <c r="AI66">
        <f t="shared" si="36"/>
        <v>11618.318113986648</v>
      </c>
      <c r="AJ66">
        <f t="shared" si="21"/>
        <v>6586.1930298270372</v>
      </c>
      <c r="AM66">
        <f t="shared" si="22"/>
        <v>1123.63454</v>
      </c>
    </row>
    <row r="67" spans="1:39" x14ac:dyDescent="0.2">
      <c r="A67" t="s">
        <v>136</v>
      </c>
      <c r="B67" t="s">
        <v>137</v>
      </c>
      <c r="C67" t="s">
        <v>92</v>
      </c>
      <c r="D67">
        <v>24181.3</v>
      </c>
      <c r="E67">
        <v>974897.12100000004</v>
      </c>
      <c r="F67">
        <v>50021</v>
      </c>
      <c r="G67">
        <v>18611</v>
      </c>
      <c r="H67">
        <v>5003.1639999999998</v>
      </c>
      <c r="I67">
        <v>0.96499999999999997</v>
      </c>
      <c r="J67">
        <v>2.5000000000000001E-2</v>
      </c>
      <c r="K67">
        <v>31.936</v>
      </c>
      <c r="L67">
        <v>30</v>
      </c>
      <c r="M67" s="4">
        <f t="shared" si="7"/>
        <v>50140.277476522417</v>
      </c>
      <c r="N67">
        <v>293</v>
      </c>
      <c r="O67">
        <v>0.46800000000000003</v>
      </c>
      <c r="Q67">
        <f t="shared" si="8"/>
        <v>603695.25866806391</v>
      </c>
      <c r="R67">
        <f t="shared" si="24"/>
        <v>582565.92461468163</v>
      </c>
      <c r="S67">
        <f t="shared" si="9"/>
        <v>27950.704550022925</v>
      </c>
      <c r="T67">
        <f t="shared" si="10"/>
        <v>11724.93</v>
      </c>
      <c r="V67">
        <f t="shared" si="11"/>
        <v>5003.1639999999998</v>
      </c>
      <c r="W67">
        <f t="shared" si="12"/>
        <v>1861.1000000000001</v>
      </c>
      <c r="Y67">
        <f t="shared" si="13"/>
        <v>98614.077412398066</v>
      </c>
      <c r="Z67">
        <f t="shared" si="14"/>
        <v>99797.446341346847</v>
      </c>
      <c r="AA67">
        <f t="shared" si="15"/>
        <v>4298.0185844394791</v>
      </c>
      <c r="AB67">
        <f t="shared" si="23"/>
        <v>5024.97</v>
      </c>
      <c r="AC67">
        <f>$G$155</f>
        <v>1.012</v>
      </c>
      <c r="AD67">
        <f t="shared" si="17"/>
        <v>50151.980110521428</v>
      </c>
      <c r="AE67">
        <f t="shared" si="18"/>
        <v>50021</v>
      </c>
      <c r="AF67">
        <f t="shared" si="19"/>
        <v>-2.6185024394040162E-3</v>
      </c>
      <c r="AI67">
        <f>$I$173</f>
        <v>11482.165948588372</v>
      </c>
      <c r="AJ67">
        <f t="shared" si="21"/>
        <v>6586.1930298270372</v>
      </c>
      <c r="AM67">
        <f t="shared" si="22"/>
        <v>2661.6832479999998</v>
      </c>
    </row>
    <row r="68" spans="1:39" x14ac:dyDescent="0.2">
      <c r="A68" t="s">
        <v>136</v>
      </c>
      <c r="B68" t="s">
        <v>138</v>
      </c>
      <c r="C68" t="s">
        <v>92</v>
      </c>
      <c r="D68">
        <v>15380.2</v>
      </c>
      <c r="E68">
        <v>974897.12100000004</v>
      </c>
      <c r="F68">
        <v>48634</v>
      </c>
      <c r="G68">
        <v>18611</v>
      </c>
      <c r="H68">
        <v>3616.9209999999998</v>
      </c>
      <c r="I68">
        <v>0.96499999999999997</v>
      </c>
      <c r="J68">
        <v>2.5000000000000001E-2</v>
      </c>
      <c r="K68">
        <v>31.797000000000001</v>
      </c>
      <c r="L68">
        <v>30</v>
      </c>
      <c r="M68" s="4">
        <f t="shared" si="7"/>
        <v>48754.034476522422</v>
      </c>
      <c r="N68">
        <v>294</v>
      </c>
      <c r="O68">
        <v>0.46800000000000003</v>
      </c>
      <c r="Q68">
        <f t="shared" si="8"/>
        <v>603695.25866806391</v>
      </c>
      <c r="R68">
        <f t="shared" si="24"/>
        <v>582565.92461468163</v>
      </c>
      <c r="S68">
        <f t="shared" si="9"/>
        <v>27950.704550022925</v>
      </c>
      <c r="T68">
        <f t="shared" si="10"/>
        <v>11724.93</v>
      </c>
      <c r="V68">
        <f t="shared" si="11"/>
        <v>3616.9209999999998</v>
      </c>
      <c r="W68">
        <f t="shared" si="12"/>
        <v>1861.1000000000001</v>
      </c>
      <c r="Y68">
        <f t="shared" si="13"/>
        <v>98614.077412398066</v>
      </c>
      <c r="Z68">
        <f t="shared" si="14"/>
        <v>99797.446341346847</v>
      </c>
      <c r="AA68">
        <f t="shared" si="15"/>
        <v>4298.0185844394791</v>
      </c>
      <c r="AB68">
        <f t="shared" si="23"/>
        <v>5024.97</v>
      </c>
      <c r="AC68">
        <f t="shared" ref="AC68:AC74" si="37">$G$155</f>
        <v>1.012</v>
      </c>
      <c r="AD68">
        <f t="shared" si="17"/>
        <v>48765.737110521426</v>
      </c>
      <c r="AE68">
        <f t="shared" si="18"/>
        <v>48634</v>
      </c>
      <c r="AF68">
        <f t="shared" si="19"/>
        <v>-2.7087451273065362E-3</v>
      </c>
      <c r="AI68">
        <f t="shared" ref="AI68:AI74" si="38">$I$173</f>
        <v>11482.165948588372</v>
      </c>
      <c r="AJ68">
        <f t="shared" si="21"/>
        <v>6586.1930298270372</v>
      </c>
      <c r="AM68">
        <f t="shared" si="22"/>
        <v>1924.2019720000001</v>
      </c>
    </row>
    <row r="69" spans="1:39" x14ac:dyDescent="0.2">
      <c r="A69" t="s">
        <v>136</v>
      </c>
      <c r="B69" t="s">
        <v>139</v>
      </c>
      <c r="C69" t="s">
        <v>92</v>
      </c>
      <c r="D69">
        <v>44297.8</v>
      </c>
      <c r="E69">
        <v>974897.12100000004</v>
      </c>
      <c r="F69">
        <v>55536</v>
      </c>
      <c r="G69">
        <v>18611</v>
      </c>
      <c r="H69">
        <v>10518.258</v>
      </c>
      <c r="I69">
        <v>0.96499999999999997</v>
      </c>
      <c r="J69">
        <v>2.5000000000000001E-2</v>
      </c>
      <c r="K69">
        <v>34.005000000000003</v>
      </c>
      <c r="L69">
        <v>30</v>
      </c>
      <c r="M69" s="4">
        <f t="shared" si="7"/>
        <v>55655.371476522421</v>
      </c>
      <c r="N69">
        <v>295</v>
      </c>
      <c r="O69">
        <v>0.46800000000000003</v>
      </c>
      <c r="Q69">
        <f t="shared" si="8"/>
        <v>603695.25866806391</v>
      </c>
      <c r="R69">
        <f t="shared" si="24"/>
        <v>582565.92461468163</v>
      </c>
      <c r="S69">
        <f t="shared" si="9"/>
        <v>27950.704550022925</v>
      </c>
      <c r="T69">
        <f t="shared" si="10"/>
        <v>11724.93</v>
      </c>
      <c r="V69">
        <f t="shared" si="11"/>
        <v>10518.258</v>
      </c>
      <c r="W69">
        <f t="shared" si="12"/>
        <v>1861.1000000000001</v>
      </c>
      <c r="Y69">
        <f t="shared" si="13"/>
        <v>98614.077412398066</v>
      </c>
      <c r="Z69">
        <f t="shared" si="14"/>
        <v>99797.446341346847</v>
      </c>
      <c r="AA69">
        <f t="shared" si="15"/>
        <v>4298.0185844394791</v>
      </c>
      <c r="AB69">
        <f t="shared" si="23"/>
        <v>5024.97</v>
      </c>
      <c r="AC69">
        <f t="shared" si="37"/>
        <v>1.012</v>
      </c>
      <c r="AD69">
        <f t="shared" si="17"/>
        <v>55667.074110521426</v>
      </c>
      <c r="AE69">
        <f t="shared" si="18"/>
        <v>55536</v>
      </c>
      <c r="AF69">
        <f t="shared" si="19"/>
        <v>-2.3601647673837799E-3</v>
      </c>
      <c r="AI69">
        <f t="shared" si="38"/>
        <v>11482.165948588372</v>
      </c>
      <c r="AJ69">
        <f t="shared" si="21"/>
        <v>6586.1930298270372</v>
      </c>
      <c r="AM69">
        <f t="shared" si="22"/>
        <v>5595.713256</v>
      </c>
    </row>
    <row r="70" spans="1:39" x14ac:dyDescent="0.2">
      <c r="A70" t="s">
        <v>136</v>
      </c>
      <c r="B70" t="s">
        <v>140</v>
      </c>
      <c r="C70" t="s">
        <v>92</v>
      </c>
      <c r="D70">
        <v>50137.8</v>
      </c>
      <c r="E70">
        <v>974897.12100000004</v>
      </c>
      <c r="F70">
        <v>54440</v>
      </c>
      <c r="G70">
        <v>18611</v>
      </c>
      <c r="H70">
        <v>9422.5820000000003</v>
      </c>
      <c r="I70">
        <v>0.96499999999999997</v>
      </c>
      <c r="J70">
        <v>2.5000000000000001E-2</v>
      </c>
      <c r="K70">
        <v>34.08</v>
      </c>
      <c r="L70">
        <v>30</v>
      </c>
      <c r="M70" s="4">
        <f t="shared" si="7"/>
        <v>54559.695476522422</v>
      </c>
      <c r="N70">
        <v>296</v>
      </c>
      <c r="O70">
        <v>0.46800000000000003</v>
      </c>
      <c r="Q70">
        <f t="shared" si="8"/>
        <v>603695.25866806391</v>
      </c>
      <c r="R70">
        <f t="shared" si="24"/>
        <v>582565.92461468163</v>
      </c>
      <c r="S70">
        <f t="shared" si="9"/>
        <v>27950.704550022925</v>
      </c>
      <c r="T70">
        <f t="shared" si="10"/>
        <v>11724.93</v>
      </c>
      <c r="V70">
        <f t="shared" si="11"/>
        <v>9422.5820000000003</v>
      </c>
      <c r="W70">
        <f t="shared" si="12"/>
        <v>1861.1000000000001</v>
      </c>
      <c r="Y70">
        <f t="shared" si="13"/>
        <v>98614.077412398066</v>
      </c>
      <c r="Z70">
        <f t="shared" si="14"/>
        <v>99797.446341346847</v>
      </c>
      <c r="AA70">
        <f t="shared" si="15"/>
        <v>4298.0185844394791</v>
      </c>
      <c r="AB70">
        <f t="shared" si="23"/>
        <v>5024.97</v>
      </c>
      <c r="AC70">
        <f t="shared" si="37"/>
        <v>1.012</v>
      </c>
      <c r="AD70">
        <f t="shared" si="17"/>
        <v>54571.398110521426</v>
      </c>
      <c r="AE70">
        <f t="shared" si="18"/>
        <v>54440</v>
      </c>
      <c r="AF70">
        <f t="shared" si="19"/>
        <v>-2.413631714206946E-3</v>
      </c>
      <c r="AI70">
        <f t="shared" si="38"/>
        <v>11482.165948588372</v>
      </c>
      <c r="AJ70">
        <f t="shared" si="21"/>
        <v>6586.1930298270372</v>
      </c>
      <c r="AM70">
        <f t="shared" si="22"/>
        <v>5012.8136240000003</v>
      </c>
    </row>
    <row r="71" spans="1:39" x14ac:dyDescent="0.2">
      <c r="A71" t="s">
        <v>136</v>
      </c>
      <c r="B71" t="s">
        <v>141</v>
      </c>
      <c r="C71" t="s">
        <v>92</v>
      </c>
      <c r="D71">
        <v>81329.8</v>
      </c>
      <c r="E71">
        <v>974897.12100000004</v>
      </c>
      <c r="F71">
        <v>60385</v>
      </c>
      <c r="G71">
        <v>18611</v>
      </c>
      <c r="H71">
        <v>15367.22</v>
      </c>
      <c r="I71">
        <v>0.96499999999999997</v>
      </c>
      <c r="J71">
        <v>2.5000000000000001E-2</v>
      </c>
      <c r="K71">
        <v>36.432000000000002</v>
      </c>
      <c r="L71">
        <v>30</v>
      </c>
      <c r="M71" s="4">
        <f t="shared" si="7"/>
        <v>60504.333476522421</v>
      </c>
      <c r="N71">
        <v>297</v>
      </c>
      <c r="O71">
        <v>0.46800000000000003</v>
      </c>
      <c r="Q71">
        <f t="shared" si="8"/>
        <v>603695.25866806391</v>
      </c>
      <c r="R71">
        <f t="shared" si="24"/>
        <v>582565.92461468163</v>
      </c>
      <c r="S71">
        <f t="shared" si="9"/>
        <v>27950.704550022925</v>
      </c>
      <c r="T71">
        <f t="shared" si="10"/>
        <v>11724.93</v>
      </c>
      <c r="V71">
        <f t="shared" si="11"/>
        <v>15367.22</v>
      </c>
      <c r="W71">
        <f t="shared" si="12"/>
        <v>1861.1000000000001</v>
      </c>
      <c r="Y71">
        <f t="shared" si="13"/>
        <v>98614.077412398066</v>
      </c>
      <c r="Z71">
        <f t="shared" si="14"/>
        <v>99797.446341346847</v>
      </c>
      <c r="AA71">
        <f t="shared" si="15"/>
        <v>4298.0185844394791</v>
      </c>
      <c r="AB71">
        <f t="shared" si="23"/>
        <v>5024.97</v>
      </c>
      <c r="AC71">
        <f t="shared" si="37"/>
        <v>1.012</v>
      </c>
      <c r="AD71">
        <f t="shared" si="17"/>
        <v>60516.036110521425</v>
      </c>
      <c r="AE71">
        <f t="shared" si="18"/>
        <v>60385</v>
      </c>
      <c r="AF71">
        <f t="shared" si="19"/>
        <v>-2.1700109385017E-3</v>
      </c>
      <c r="AI71">
        <f t="shared" si="38"/>
        <v>11482.165948588372</v>
      </c>
      <c r="AJ71">
        <f t="shared" si="21"/>
        <v>6586.1930298270372</v>
      </c>
      <c r="AM71">
        <f t="shared" si="22"/>
        <v>8175.3610399999998</v>
      </c>
    </row>
    <row r="72" spans="1:39" x14ac:dyDescent="0.2">
      <c r="A72" t="s">
        <v>136</v>
      </c>
      <c r="B72" t="s">
        <v>142</v>
      </c>
      <c r="C72" t="s">
        <v>92</v>
      </c>
      <c r="D72">
        <v>45151.7</v>
      </c>
      <c r="E72">
        <v>974897.12100000004</v>
      </c>
      <c r="F72">
        <v>61122</v>
      </c>
      <c r="G72">
        <v>18611</v>
      </c>
      <c r="H72">
        <v>16104.968000000001</v>
      </c>
      <c r="I72">
        <v>0.96499999999999997</v>
      </c>
      <c r="J72">
        <v>2.5000000000000001E-2</v>
      </c>
      <c r="K72">
        <v>36.305</v>
      </c>
      <c r="L72">
        <v>30</v>
      </c>
      <c r="M72" s="4">
        <f t="shared" si="7"/>
        <v>61242.08147652242</v>
      </c>
      <c r="N72">
        <v>298</v>
      </c>
      <c r="O72">
        <v>0.46800000000000003</v>
      </c>
      <c r="Q72">
        <f t="shared" si="8"/>
        <v>603695.25866806391</v>
      </c>
      <c r="R72">
        <f t="shared" si="24"/>
        <v>582565.92461468163</v>
      </c>
      <c r="S72">
        <f t="shared" si="9"/>
        <v>27950.704550022925</v>
      </c>
      <c r="T72">
        <f t="shared" si="10"/>
        <v>11724.93</v>
      </c>
      <c r="V72">
        <f t="shared" si="11"/>
        <v>16104.968000000001</v>
      </c>
      <c r="W72">
        <f t="shared" si="12"/>
        <v>1861.1000000000001</v>
      </c>
      <c r="Y72">
        <f t="shared" si="13"/>
        <v>98614.077412398066</v>
      </c>
      <c r="Z72">
        <f t="shared" si="14"/>
        <v>99797.446341346847</v>
      </c>
      <c r="AA72">
        <f t="shared" si="15"/>
        <v>4298.0185844394791</v>
      </c>
      <c r="AB72">
        <f t="shared" si="23"/>
        <v>5024.97</v>
      </c>
      <c r="AC72">
        <f t="shared" si="37"/>
        <v>1.012</v>
      </c>
      <c r="AD72">
        <f t="shared" si="17"/>
        <v>61253.784110521425</v>
      </c>
      <c r="AE72">
        <f t="shared" si="18"/>
        <v>61122</v>
      </c>
      <c r="AF72">
        <f t="shared" si="19"/>
        <v>-2.15608308827304E-3</v>
      </c>
      <c r="AI72">
        <f t="shared" si="38"/>
        <v>11482.165948588372</v>
      </c>
      <c r="AJ72">
        <f t="shared" si="21"/>
        <v>6586.1930298270372</v>
      </c>
      <c r="AM72">
        <f t="shared" si="22"/>
        <v>8567.8429760000017</v>
      </c>
    </row>
    <row r="73" spans="1:39" x14ac:dyDescent="0.2">
      <c r="A73" t="s">
        <v>136</v>
      </c>
      <c r="B73" t="s">
        <v>143</v>
      </c>
      <c r="C73" t="s">
        <v>92</v>
      </c>
      <c r="D73">
        <v>215600.3</v>
      </c>
      <c r="E73">
        <v>974897.12100000004</v>
      </c>
      <c r="F73">
        <v>66431</v>
      </c>
      <c r="G73">
        <v>18611</v>
      </c>
      <c r="H73">
        <v>21413.744999999999</v>
      </c>
      <c r="I73">
        <v>0.96499999999999997</v>
      </c>
      <c r="J73">
        <v>2.5000000000000001E-2</v>
      </c>
      <c r="K73">
        <v>38.793999999999997</v>
      </c>
      <c r="L73">
        <v>30</v>
      </c>
      <c r="M73" s="4">
        <f t="shared" si="7"/>
        <v>66550.858476522422</v>
      </c>
      <c r="N73">
        <v>299</v>
      </c>
      <c r="O73">
        <v>0.46800000000000003</v>
      </c>
      <c r="Q73">
        <f t="shared" si="8"/>
        <v>603695.25866806391</v>
      </c>
      <c r="R73">
        <f t="shared" si="24"/>
        <v>582565.92461468163</v>
      </c>
      <c r="S73">
        <f t="shared" si="9"/>
        <v>27950.704550022925</v>
      </c>
      <c r="T73">
        <f t="shared" si="10"/>
        <v>11724.93</v>
      </c>
      <c r="V73">
        <f t="shared" si="11"/>
        <v>21413.744999999999</v>
      </c>
      <c r="W73">
        <f t="shared" si="12"/>
        <v>1861.1000000000001</v>
      </c>
      <c r="Y73">
        <f t="shared" si="13"/>
        <v>98614.077412398066</v>
      </c>
      <c r="Z73">
        <f t="shared" si="14"/>
        <v>99797.446341346847</v>
      </c>
      <c r="AA73">
        <f t="shared" si="15"/>
        <v>4298.0185844394791</v>
      </c>
      <c r="AB73">
        <f t="shared" si="23"/>
        <v>5024.97</v>
      </c>
      <c r="AC73">
        <f t="shared" si="37"/>
        <v>1.012</v>
      </c>
      <c r="AD73">
        <f t="shared" si="17"/>
        <v>66562.561110521419</v>
      </c>
      <c r="AE73">
        <f t="shared" si="18"/>
        <v>66431</v>
      </c>
      <c r="AF73">
        <f t="shared" si="19"/>
        <v>-1.9804174334485305E-3</v>
      </c>
      <c r="AI73">
        <f t="shared" si="38"/>
        <v>11482.165948588372</v>
      </c>
      <c r="AJ73">
        <f t="shared" si="21"/>
        <v>6586.1930298270372</v>
      </c>
      <c r="AM73">
        <f t="shared" si="22"/>
        <v>11392.11234</v>
      </c>
    </row>
    <row r="74" spans="1:39" x14ac:dyDescent="0.2">
      <c r="A74" t="s">
        <v>136</v>
      </c>
      <c r="B74" t="s">
        <v>144</v>
      </c>
      <c r="C74" t="s">
        <v>92</v>
      </c>
      <c r="D74">
        <v>112315.6</v>
      </c>
      <c r="E74">
        <v>974897.12100000004</v>
      </c>
      <c r="F74">
        <v>66347</v>
      </c>
      <c r="G74">
        <v>18611</v>
      </c>
      <c r="H74">
        <v>21329.785</v>
      </c>
      <c r="I74">
        <v>0.96499999999999997</v>
      </c>
      <c r="J74">
        <v>2.5000000000000001E-2</v>
      </c>
      <c r="K74">
        <v>39.261000000000003</v>
      </c>
      <c r="L74">
        <v>30</v>
      </c>
      <c r="M74" s="4">
        <f t="shared" si="7"/>
        <v>66466.898476522416</v>
      </c>
      <c r="N74">
        <v>300</v>
      </c>
      <c r="O74">
        <v>0.46800000000000003</v>
      </c>
      <c r="Q74">
        <f t="shared" si="8"/>
        <v>603695.25866806391</v>
      </c>
      <c r="R74">
        <f t="shared" si="24"/>
        <v>582565.92461468163</v>
      </c>
      <c r="S74">
        <f t="shared" si="9"/>
        <v>27950.704550022925</v>
      </c>
      <c r="T74">
        <f t="shared" si="10"/>
        <v>11724.93</v>
      </c>
      <c r="V74">
        <f t="shared" si="11"/>
        <v>21329.785</v>
      </c>
      <c r="W74">
        <f t="shared" si="12"/>
        <v>1861.1000000000001</v>
      </c>
      <c r="Y74">
        <f t="shared" si="13"/>
        <v>98614.077412398066</v>
      </c>
      <c r="Z74">
        <f t="shared" si="14"/>
        <v>99797.446341346847</v>
      </c>
      <c r="AA74">
        <f t="shared" si="15"/>
        <v>4298.0185844394791</v>
      </c>
      <c r="AB74">
        <f t="shared" si="23"/>
        <v>5024.97</v>
      </c>
      <c r="AC74">
        <f t="shared" si="37"/>
        <v>1.012</v>
      </c>
      <c r="AD74">
        <f t="shared" si="17"/>
        <v>66478.601110521427</v>
      </c>
      <c r="AE74">
        <f t="shared" si="18"/>
        <v>66347</v>
      </c>
      <c r="AF74">
        <f t="shared" si="19"/>
        <v>-1.9835276730135118E-3</v>
      </c>
      <c r="AI74">
        <f t="shared" si="38"/>
        <v>11482.165948588372</v>
      </c>
      <c r="AJ74">
        <f t="shared" si="21"/>
        <v>6586.1930298270372</v>
      </c>
      <c r="AM74">
        <f t="shared" si="22"/>
        <v>11347.44562</v>
      </c>
    </row>
    <row r="75" spans="1:39" x14ac:dyDescent="0.2">
      <c r="A75" t="s">
        <v>145</v>
      </c>
      <c r="B75" t="s">
        <v>146</v>
      </c>
      <c r="C75" t="s">
        <v>92</v>
      </c>
      <c r="D75">
        <v>7736.4</v>
      </c>
      <c r="E75">
        <v>974897.12100000004</v>
      </c>
      <c r="F75">
        <v>50757</v>
      </c>
      <c r="G75">
        <v>18611</v>
      </c>
      <c r="H75">
        <v>4793.5050000000001</v>
      </c>
      <c r="I75">
        <v>0.98599999999999999</v>
      </c>
      <c r="J75">
        <v>2.5000000000000001E-2</v>
      </c>
      <c r="K75">
        <v>32.548000000000002</v>
      </c>
      <c r="L75">
        <v>30</v>
      </c>
      <c r="M75" s="4">
        <f t="shared" si="7"/>
        <v>50912.876904508914</v>
      </c>
      <c r="N75">
        <v>321</v>
      </c>
      <c r="O75">
        <v>0.46800000000000003</v>
      </c>
      <c r="Q75">
        <f t="shared" si="8"/>
        <v>603695.25866806391</v>
      </c>
      <c r="R75">
        <f t="shared" si="24"/>
        <v>595243.52504671097</v>
      </c>
      <c r="S75">
        <f t="shared" si="9"/>
        <v>28558.958224168502</v>
      </c>
      <c r="T75">
        <f t="shared" si="10"/>
        <v>11724.93</v>
      </c>
      <c r="V75">
        <f t="shared" si="11"/>
        <v>4793.5050000000001</v>
      </c>
      <c r="W75">
        <f t="shared" si="12"/>
        <v>1861.1000000000001</v>
      </c>
      <c r="Y75">
        <f t="shared" si="13"/>
        <v>98614.077412398066</v>
      </c>
      <c r="Z75">
        <f t="shared" si="14"/>
        <v>101671.1138121824</v>
      </c>
      <c r="AA75">
        <f t="shared" si="15"/>
        <v>4378.7126092461494</v>
      </c>
      <c r="AB75">
        <f t="shared" si="23"/>
        <v>5024.97</v>
      </c>
      <c r="AC75">
        <f>$G$156</f>
        <v>1.0309999999999999</v>
      </c>
      <c r="AD75">
        <f t="shared" si="17"/>
        <v>50910.569778516889</v>
      </c>
      <c r="AE75">
        <f t="shared" si="18"/>
        <v>50757</v>
      </c>
      <c r="AF75">
        <f t="shared" si="19"/>
        <v>-3.0255881655119219E-3</v>
      </c>
      <c r="AI75">
        <f>$I$174</f>
        <v>11697.740210468979</v>
      </c>
      <c r="AJ75">
        <f t="shared" si="21"/>
        <v>6586.1930298270372</v>
      </c>
      <c r="AM75">
        <f t="shared" si="22"/>
        <v>2550.1446600000004</v>
      </c>
    </row>
    <row r="76" spans="1:39" x14ac:dyDescent="0.2">
      <c r="A76" t="s">
        <v>145</v>
      </c>
      <c r="B76" t="s">
        <v>147</v>
      </c>
      <c r="C76" t="s">
        <v>92</v>
      </c>
      <c r="D76">
        <v>354.8</v>
      </c>
      <c r="E76">
        <v>974897.12100000004</v>
      </c>
      <c r="F76">
        <v>49783</v>
      </c>
      <c r="G76">
        <v>18611</v>
      </c>
      <c r="H76">
        <v>3819.4589999999998</v>
      </c>
      <c r="I76">
        <v>0.98599999999999999</v>
      </c>
      <c r="J76">
        <v>2.5000000000000001E-2</v>
      </c>
      <c r="K76">
        <v>30.302</v>
      </c>
      <c r="L76">
        <v>30</v>
      </c>
      <c r="M76" s="4">
        <f t="shared" si="7"/>
        <v>49938.830904508919</v>
      </c>
      <c r="N76">
        <v>322</v>
      </c>
      <c r="O76">
        <v>0.46800000000000003</v>
      </c>
      <c r="Q76">
        <f t="shared" si="8"/>
        <v>603695.25866806391</v>
      </c>
      <c r="R76">
        <f t="shared" si="24"/>
        <v>595243.52504671097</v>
      </c>
      <c r="S76">
        <f t="shared" si="9"/>
        <v>28558.958224168502</v>
      </c>
      <c r="T76">
        <f t="shared" si="10"/>
        <v>11724.93</v>
      </c>
      <c r="V76">
        <f t="shared" si="11"/>
        <v>3819.4589999999998</v>
      </c>
      <c r="W76">
        <f t="shared" si="12"/>
        <v>1861.1000000000001</v>
      </c>
      <c r="Y76">
        <f t="shared" si="13"/>
        <v>98614.077412398066</v>
      </c>
      <c r="Z76">
        <f t="shared" si="14"/>
        <v>101671.1138121824</v>
      </c>
      <c r="AA76">
        <f t="shared" si="15"/>
        <v>4378.7126092461494</v>
      </c>
      <c r="AB76">
        <f t="shared" si="23"/>
        <v>5024.97</v>
      </c>
      <c r="AC76">
        <f t="shared" ref="AC76:AC80" si="39">$G$156</f>
        <v>1.0309999999999999</v>
      </c>
      <c r="AD76">
        <f t="shared" si="17"/>
        <v>49936.523778516887</v>
      </c>
      <c r="AE76">
        <f t="shared" si="18"/>
        <v>49783</v>
      </c>
      <c r="AF76">
        <f t="shared" si="19"/>
        <v>-3.0838595206573835E-3</v>
      </c>
      <c r="AI76">
        <f t="shared" ref="AI76:AI80" si="40">$I$174</f>
        <v>11697.740210468979</v>
      </c>
      <c r="AJ76">
        <f t="shared" si="21"/>
        <v>6586.1930298270372</v>
      </c>
      <c r="AM76">
        <f t="shared" si="22"/>
        <v>2031.952188</v>
      </c>
    </row>
    <row r="77" spans="1:39" x14ac:dyDescent="0.2">
      <c r="A77" t="s">
        <v>145</v>
      </c>
      <c r="B77" t="s">
        <v>148</v>
      </c>
      <c r="C77" t="s">
        <v>92</v>
      </c>
      <c r="D77">
        <v>24941.4</v>
      </c>
      <c r="E77">
        <v>974897.12100000004</v>
      </c>
      <c r="F77">
        <v>56812</v>
      </c>
      <c r="G77">
        <v>18611</v>
      </c>
      <c r="H77">
        <v>10848.963</v>
      </c>
      <c r="I77">
        <v>0.98599999999999999</v>
      </c>
      <c r="J77">
        <v>2.5000000000000001E-2</v>
      </c>
      <c r="K77">
        <v>35.819000000000003</v>
      </c>
      <c r="L77">
        <v>30</v>
      </c>
      <c r="M77" s="4">
        <f t="shared" si="7"/>
        <v>56968.334904508913</v>
      </c>
      <c r="N77">
        <v>323</v>
      </c>
      <c r="O77">
        <v>0.46800000000000003</v>
      </c>
      <c r="Q77">
        <f t="shared" si="8"/>
        <v>603695.25866806391</v>
      </c>
      <c r="R77">
        <f t="shared" si="24"/>
        <v>595243.52504671097</v>
      </c>
      <c r="S77">
        <f t="shared" si="9"/>
        <v>28558.958224168502</v>
      </c>
      <c r="T77">
        <f t="shared" si="10"/>
        <v>11724.93</v>
      </c>
      <c r="V77">
        <f t="shared" si="11"/>
        <v>10848.963</v>
      </c>
      <c r="W77">
        <f t="shared" si="12"/>
        <v>1861.1000000000001</v>
      </c>
      <c r="Y77">
        <f t="shared" si="13"/>
        <v>98614.077412398066</v>
      </c>
      <c r="Z77">
        <f t="shared" si="14"/>
        <v>101671.1138121824</v>
      </c>
      <c r="AA77">
        <f t="shared" si="15"/>
        <v>4378.7126092461494</v>
      </c>
      <c r="AB77">
        <f t="shared" si="23"/>
        <v>5024.97</v>
      </c>
      <c r="AC77">
        <f t="shared" si="39"/>
        <v>1.0309999999999999</v>
      </c>
      <c r="AD77">
        <f t="shared" si="17"/>
        <v>56966.027778516887</v>
      </c>
      <c r="AE77">
        <f t="shared" si="18"/>
        <v>56812</v>
      </c>
      <c r="AF77">
        <f t="shared" si="19"/>
        <v>-2.7111838787032203E-3</v>
      </c>
      <c r="AI77">
        <f t="shared" si="40"/>
        <v>11697.740210468979</v>
      </c>
      <c r="AJ77">
        <f t="shared" si="21"/>
        <v>6586.1930298270372</v>
      </c>
      <c r="AM77">
        <f t="shared" si="22"/>
        <v>5771.6483159999998</v>
      </c>
    </row>
    <row r="78" spans="1:39" x14ac:dyDescent="0.2">
      <c r="A78" t="s">
        <v>145</v>
      </c>
      <c r="B78" t="s">
        <v>149</v>
      </c>
      <c r="C78" t="s">
        <v>92</v>
      </c>
      <c r="D78">
        <v>22001.4</v>
      </c>
      <c r="E78">
        <v>974897.12100000004</v>
      </c>
      <c r="F78">
        <v>56346</v>
      </c>
      <c r="G78">
        <v>18611</v>
      </c>
      <c r="H78">
        <v>10382.448</v>
      </c>
      <c r="I78">
        <v>0.98599999999999999</v>
      </c>
      <c r="J78">
        <v>2.5000000000000001E-2</v>
      </c>
      <c r="K78">
        <v>35.118000000000002</v>
      </c>
      <c r="L78">
        <v>30</v>
      </c>
      <c r="M78" s="4">
        <f t="shared" si="7"/>
        <v>56501.819904508913</v>
      </c>
      <c r="N78">
        <v>324</v>
      </c>
      <c r="O78">
        <v>0.46800000000000003</v>
      </c>
      <c r="Q78">
        <f t="shared" si="8"/>
        <v>603695.25866806391</v>
      </c>
      <c r="R78">
        <f t="shared" si="24"/>
        <v>595243.52504671097</v>
      </c>
      <c r="S78">
        <f t="shared" si="9"/>
        <v>28558.958224168502</v>
      </c>
      <c r="T78">
        <f t="shared" si="10"/>
        <v>11724.93</v>
      </c>
      <c r="V78">
        <f t="shared" si="11"/>
        <v>10382.448</v>
      </c>
      <c r="W78">
        <f t="shared" si="12"/>
        <v>1861.1000000000001</v>
      </c>
      <c r="Y78">
        <f t="shared" si="13"/>
        <v>98614.077412398066</v>
      </c>
      <c r="Z78">
        <f t="shared" si="14"/>
        <v>101671.1138121824</v>
      </c>
      <c r="AA78">
        <f t="shared" si="15"/>
        <v>4378.7126092461494</v>
      </c>
      <c r="AB78">
        <f t="shared" si="23"/>
        <v>5024.97</v>
      </c>
      <c r="AC78">
        <f t="shared" si="39"/>
        <v>1.0309999999999999</v>
      </c>
      <c r="AD78">
        <f t="shared" si="17"/>
        <v>56499.512778516888</v>
      </c>
      <c r="AE78">
        <f t="shared" si="18"/>
        <v>56346</v>
      </c>
      <c r="AF78">
        <f t="shared" si="19"/>
        <v>-2.7244663066923638E-3</v>
      </c>
      <c r="AI78">
        <f t="shared" si="40"/>
        <v>11697.740210468979</v>
      </c>
      <c r="AJ78">
        <f t="shared" si="21"/>
        <v>6586.1930298270372</v>
      </c>
      <c r="AM78">
        <f t="shared" si="22"/>
        <v>5523.4623360000005</v>
      </c>
    </row>
    <row r="79" spans="1:39" x14ac:dyDescent="0.2">
      <c r="A79" t="s">
        <v>145</v>
      </c>
      <c r="B79" t="s">
        <v>150</v>
      </c>
      <c r="C79" t="s">
        <v>92</v>
      </c>
      <c r="D79">
        <v>71318.3</v>
      </c>
      <c r="E79">
        <v>974897.12100000004</v>
      </c>
      <c r="F79">
        <v>63428</v>
      </c>
      <c r="G79">
        <v>18611</v>
      </c>
      <c r="H79">
        <v>17464.09</v>
      </c>
      <c r="I79">
        <v>0.98599999999999999</v>
      </c>
      <c r="J79">
        <v>2.5000000000000001E-2</v>
      </c>
      <c r="K79">
        <v>38.335999999999999</v>
      </c>
      <c r="L79">
        <v>30</v>
      </c>
      <c r="M79" s="4">
        <f t="shared" si="7"/>
        <v>63583.46190450892</v>
      </c>
      <c r="N79">
        <v>325</v>
      </c>
      <c r="O79">
        <v>0.46800000000000003</v>
      </c>
      <c r="Q79">
        <f t="shared" si="8"/>
        <v>603695.25866806391</v>
      </c>
      <c r="R79">
        <f t="shared" si="24"/>
        <v>595243.52504671097</v>
      </c>
      <c r="S79">
        <f t="shared" si="9"/>
        <v>28558.958224168502</v>
      </c>
      <c r="T79">
        <f t="shared" si="10"/>
        <v>11724.93</v>
      </c>
      <c r="V79">
        <f t="shared" si="11"/>
        <v>17464.09</v>
      </c>
      <c r="W79">
        <f t="shared" si="12"/>
        <v>1861.1000000000001</v>
      </c>
      <c r="Y79">
        <f t="shared" si="13"/>
        <v>98614.077412398066</v>
      </c>
      <c r="Z79">
        <f t="shared" si="14"/>
        <v>101671.1138121824</v>
      </c>
      <c r="AA79">
        <f t="shared" si="15"/>
        <v>4378.7126092461494</v>
      </c>
      <c r="AB79">
        <f t="shared" si="23"/>
        <v>5024.97</v>
      </c>
      <c r="AC79">
        <f t="shared" si="39"/>
        <v>1.0309999999999999</v>
      </c>
      <c r="AD79">
        <f t="shared" si="17"/>
        <v>63581.154778516895</v>
      </c>
      <c r="AE79">
        <f t="shared" si="18"/>
        <v>63428</v>
      </c>
      <c r="AF79">
        <f t="shared" si="19"/>
        <v>-2.4146241173755283E-3</v>
      </c>
      <c r="AI79">
        <f t="shared" si="40"/>
        <v>11697.740210468979</v>
      </c>
      <c r="AJ79">
        <f t="shared" si="21"/>
        <v>6586.1930298270372</v>
      </c>
      <c r="AM79">
        <f t="shared" si="22"/>
        <v>9290.89588</v>
      </c>
    </row>
    <row r="80" spans="1:39" x14ac:dyDescent="0.2">
      <c r="A80" t="s">
        <v>145</v>
      </c>
      <c r="B80" t="s">
        <v>151</v>
      </c>
      <c r="C80" t="s">
        <v>92</v>
      </c>
      <c r="D80">
        <v>25515.4</v>
      </c>
      <c r="E80">
        <v>974897.12100000004</v>
      </c>
      <c r="F80">
        <v>61548</v>
      </c>
      <c r="G80">
        <v>18611</v>
      </c>
      <c r="H80">
        <v>15584.208000000001</v>
      </c>
      <c r="I80">
        <v>0.98599999999999999</v>
      </c>
      <c r="J80">
        <v>2.5000000000000001E-2</v>
      </c>
      <c r="K80">
        <v>38.436999999999998</v>
      </c>
      <c r="L80">
        <v>30</v>
      </c>
      <c r="M80" s="4">
        <f t="shared" si="7"/>
        <v>61703.579904508915</v>
      </c>
      <c r="N80">
        <v>326</v>
      </c>
      <c r="O80">
        <v>0.46800000000000003</v>
      </c>
      <c r="Q80">
        <f t="shared" si="8"/>
        <v>603695.25866806391</v>
      </c>
      <c r="R80">
        <f t="shared" si="24"/>
        <v>595243.52504671097</v>
      </c>
      <c r="S80">
        <f t="shared" si="9"/>
        <v>28558.958224168502</v>
      </c>
      <c r="T80">
        <f t="shared" si="10"/>
        <v>11724.93</v>
      </c>
      <c r="V80">
        <f t="shared" si="11"/>
        <v>15584.208000000001</v>
      </c>
      <c r="W80">
        <f t="shared" si="12"/>
        <v>1861.1000000000001</v>
      </c>
      <c r="Y80">
        <f t="shared" si="13"/>
        <v>98614.077412398066</v>
      </c>
      <c r="Z80">
        <f t="shared" si="14"/>
        <v>101671.1138121824</v>
      </c>
      <c r="AA80">
        <f t="shared" si="15"/>
        <v>4378.7126092461494</v>
      </c>
      <c r="AB80">
        <f t="shared" si="23"/>
        <v>5024.97</v>
      </c>
      <c r="AC80">
        <f t="shared" si="39"/>
        <v>1.0309999999999999</v>
      </c>
      <c r="AD80">
        <f t="shared" si="17"/>
        <v>61701.27277851689</v>
      </c>
      <c r="AE80">
        <f t="shared" si="18"/>
        <v>61548</v>
      </c>
      <c r="AF80">
        <f t="shared" si="19"/>
        <v>-2.4902966549179496E-3</v>
      </c>
      <c r="AI80">
        <f t="shared" si="40"/>
        <v>11697.740210468979</v>
      </c>
      <c r="AJ80">
        <f t="shared" si="21"/>
        <v>6586.1930298270372</v>
      </c>
      <c r="AM80">
        <f t="shared" si="22"/>
        <v>8290.7986560000008</v>
      </c>
    </row>
    <row r="81" spans="1:39" x14ac:dyDescent="0.2">
      <c r="A81" t="s">
        <v>152</v>
      </c>
      <c r="B81" t="s">
        <v>153</v>
      </c>
      <c r="C81" t="s">
        <v>92</v>
      </c>
      <c r="D81">
        <v>2050.4</v>
      </c>
      <c r="E81">
        <v>974897.12100000004</v>
      </c>
      <c r="F81">
        <v>48955</v>
      </c>
      <c r="G81">
        <v>18611</v>
      </c>
      <c r="H81">
        <v>2815.9870000000001</v>
      </c>
      <c r="I81">
        <v>0.98899999999999999</v>
      </c>
      <c r="J81">
        <v>2.5000000000000001E-2</v>
      </c>
      <c r="K81">
        <v>35.417999999999999</v>
      </c>
      <c r="L81">
        <v>30</v>
      </c>
      <c r="M81" s="4">
        <f t="shared" si="7"/>
        <v>49075.681537078417</v>
      </c>
      <c r="N81">
        <v>335</v>
      </c>
      <c r="O81">
        <v>0.46800000000000003</v>
      </c>
      <c r="Q81">
        <f t="shared" si="8"/>
        <v>603695.25866806391</v>
      </c>
      <c r="R81">
        <f t="shared" si="24"/>
        <v>597054.61082271521</v>
      </c>
      <c r="S81">
        <f t="shared" si="9"/>
        <v>28645.851606189302</v>
      </c>
      <c r="T81">
        <f t="shared" si="10"/>
        <v>11724.93</v>
      </c>
      <c r="V81">
        <f t="shared" si="11"/>
        <v>2815.9870000000001</v>
      </c>
      <c r="W81">
        <f t="shared" si="12"/>
        <v>1861.1000000000001</v>
      </c>
      <c r="Y81">
        <f t="shared" si="13"/>
        <v>98614.077412398066</v>
      </c>
      <c r="Z81">
        <f t="shared" si="14"/>
        <v>100980.81527029563</v>
      </c>
      <c r="AA81">
        <f t="shared" si="15"/>
        <v>4348.9832316857974</v>
      </c>
      <c r="AB81">
        <f t="shared" si="23"/>
        <v>5024.97</v>
      </c>
      <c r="AC81">
        <f>$G$157</f>
        <v>1.024</v>
      </c>
      <c r="AD81">
        <f t="shared" si="17"/>
        <v>49025.531799702105</v>
      </c>
      <c r="AE81">
        <f t="shared" si="18"/>
        <v>48955</v>
      </c>
      <c r="AF81">
        <f t="shared" si="19"/>
        <v>-1.4407476192851551E-3</v>
      </c>
      <c r="AI81">
        <f>$I$175</f>
        <v>11618.318113986648</v>
      </c>
      <c r="AJ81">
        <f t="shared" si="21"/>
        <v>6586.1930298270372</v>
      </c>
      <c r="AM81">
        <f t="shared" si="22"/>
        <v>1498.105084</v>
      </c>
    </row>
    <row r="82" spans="1:39" x14ac:dyDescent="0.2">
      <c r="A82" t="s">
        <v>152</v>
      </c>
      <c r="B82" t="s">
        <v>154</v>
      </c>
      <c r="C82" t="s">
        <v>92</v>
      </c>
      <c r="D82">
        <v>478.7</v>
      </c>
      <c r="E82">
        <v>974897.12100000004</v>
      </c>
      <c r="F82">
        <v>48147</v>
      </c>
      <c r="G82">
        <v>18611</v>
      </c>
      <c r="H82">
        <v>2007.6959999999999</v>
      </c>
      <c r="I82">
        <v>0.98899999999999999</v>
      </c>
      <c r="J82">
        <v>2.5000000000000001E-2</v>
      </c>
      <c r="K82">
        <v>33.542999999999999</v>
      </c>
      <c r="L82">
        <v>30</v>
      </c>
      <c r="M82" s="4">
        <f t="shared" si="7"/>
        <v>48267.39053707842</v>
      </c>
      <c r="N82">
        <v>336</v>
      </c>
      <c r="O82">
        <v>0.46800000000000003</v>
      </c>
      <c r="Q82">
        <f t="shared" si="8"/>
        <v>603695.25866806391</v>
      </c>
      <c r="R82">
        <f t="shared" si="24"/>
        <v>597054.61082271521</v>
      </c>
      <c r="S82">
        <f t="shared" si="9"/>
        <v>28645.851606189302</v>
      </c>
      <c r="T82">
        <f t="shared" si="10"/>
        <v>11724.93</v>
      </c>
      <c r="V82">
        <f t="shared" si="11"/>
        <v>2007.6959999999999</v>
      </c>
      <c r="W82">
        <f t="shared" si="12"/>
        <v>1861.1000000000001</v>
      </c>
      <c r="Y82">
        <f t="shared" si="13"/>
        <v>98614.077412398066</v>
      </c>
      <c r="Z82">
        <f t="shared" si="14"/>
        <v>100980.81527029563</v>
      </c>
      <c r="AA82">
        <f t="shared" si="15"/>
        <v>4348.9832316857974</v>
      </c>
      <c r="AB82">
        <f t="shared" si="23"/>
        <v>5024.97</v>
      </c>
      <c r="AC82">
        <f t="shared" ref="AC82:AC84" si="41">$G$157</f>
        <v>1.024</v>
      </c>
      <c r="AD82">
        <f t="shared" si="17"/>
        <v>48217.240799702107</v>
      </c>
      <c r="AE82">
        <f t="shared" si="18"/>
        <v>48147</v>
      </c>
      <c r="AF82">
        <f t="shared" si="19"/>
        <v>-1.4588821671569843E-3</v>
      </c>
      <c r="AI82">
        <f t="shared" ref="AI82:AI84" si="42">$I$175</f>
        <v>11618.318113986648</v>
      </c>
      <c r="AJ82">
        <f t="shared" si="21"/>
        <v>6586.1930298270372</v>
      </c>
      <c r="AM82">
        <f t="shared" si="22"/>
        <v>1068.094272</v>
      </c>
    </row>
    <row r="83" spans="1:39" x14ac:dyDescent="0.2">
      <c r="A83" t="s">
        <v>152</v>
      </c>
      <c r="B83" t="s">
        <v>155</v>
      </c>
      <c r="C83" t="s">
        <v>92</v>
      </c>
      <c r="D83">
        <v>7285.7</v>
      </c>
      <c r="E83">
        <v>974897.12100000004</v>
      </c>
      <c r="F83">
        <v>51494</v>
      </c>
      <c r="G83">
        <v>18611</v>
      </c>
      <c r="H83">
        <v>5354.6890000000003</v>
      </c>
      <c r="I83">
        <v>0.98899999999999999</v>
      </c>
      <c r="J83">
        <v>2.5000000000000001E-2</v>
      </c>
      <c r="K83">
        <v>37.734000000000002</v>
      </c>
      <c r="L83">
        <v>30</v>
      </c>
      <c r="M83" s="4">
        <f t="shared" si="7"/>
        <v>51614.383537078415</v>
      </c>
      <c r="N83">
        <v>337</v>
      </c>
      <c r="O83">
        <v>0.46800000000000003</v>
      </c>
      <c r="Q83">
        <f t="shared" si="8"/>
        <v>603695.25866806391</v>
      </c>
      <c r="R83">
        <f t="shared" si="24"/>
        <v>597054.61082271521</v>
      </c>
      <c r="S83">
        <f t="shared" si="9"/>
        <v>28645.851606189302</v>
      </c>
      <c r="T83">
        <f t="shared" si="10"/>
        <v>11724.93</v>
      </c>
      <c r="V83">
        <f t="shared" si="11"/>
        <v>5354.6890000000003</v>
      </c>
      <c r="W83">
        <f t="shared" si="12"/>
        <v>1861.1000000000001</v>
      </c>
      <c r="Y83">
        <f t="shared" si="13"/>
        <v>98614.077412398066</v>
      </c>
      <c r="Z83">
        <f t="shared" si="14"/>
        <v>100980.81527029563</v>
      </c>
      <c r="AA83">
        <f t="shared" si="15"/>
        <v>4348.9832316857974</v>
      </c>
      <c r="AB83">
        <f t="shared" si="23"/>
        <v>5024.97</v>
      </c>
      <c r="AC83">
        <f t="shared" si="41"/>
        <v>1.024</v>
      </c>
      <c r="AD83">
        <f t="shared" si="17"/>
        <v>51564.23379970211</v>
      </c>
      <c r="AE83">
        <f t="shared" si="18"/>
        <v>51494</v>
      </c>
      <c r="AF83">
        <f t="shared" si="19"/>
        <v>-1.363922004546346E-3</v>
      </c>
      <c r="AI83">
        <f t="shared" si="42"/>
        <v>11618.318113986648</v>
      </c>
      <c r="AJ83">
        <f t="shared" si="21"/>
        <v>6586.1930298270372</v>
      </c>
      <c r="AM83">
        <f t="shared" si="22"/>
        <v>2848.6945480000004</v>
      </c>
    </row>
    <row r="84" spans="1:39" x14ac:dyDescent="0.2">
      <c r="A84" t="s">
        <v>152</v>
      </c>
      <c r="B84" t="s">
        <v>156</v>
      </c>
      <c r="C84" t="s">
        <v>92</v>
      </c>
      <c r="D84">
        <v>10319.299999999999</v>
      </c>
      <c r="E84">
        <v>974897.12100000004</v>
      </c>
      <c r="F84">
        <v>48731</v>
      </c>
      <c r="G84">
        <v>18611</v>
      </c>
      <c r="H84">
        <v>2591.5639999999999</v>
      </c>
      <c r="I84">
        <v>0.98899999999999999</v>
      </c>
      <c r="J84">
        <v>2.5000000000000001E-2</v>
      </c>
      <c r="K84">
        <v>38.792999999999999</v>
      </c>
      <c r="L84">
        <v>30</v>
      </c>
      <c r="M84" s="4">
        <f t="shared" si="7"/>
        <v>48851.258537078415</v>
      </c>
      <c r="N84">
        <v>338</v>
      </c>
      <c r="O84">
        <v>0.46800000000000003</v>
      </c>
      <c r="Q84">
        <f t="shared" si="8"/>
        <v>603695.25866806391</v>
      </c>
      <c r="R84">
        <f t="shared" si="24"/>
        <v>597054.61082271521</v>
      </c>
      <c r="S84">
        <f t="shared" si="9"/>
        <v>28645.851606189302</v>
      </c>
      <c r="T84">
        <f t="shared" si="10"/>
        <v>11724.93</v>
      </c>
      <c r="V84">
        <f t="shared" si="11"/>
        <v>2591.5639999999999</v>
      </c>
      <c r="W84">
        <f t="shared" si="12"/>
        <v>1861.1000000000001</v>
      </c>
      <c r="Y84">
        <f t="shared" si="13"/>
        <v>98614.077412398066</v>
      </c>
      <c r="Z84">
        <f t="shared" si="14"/>
        <v>100980.81527029563</v>
      </c>
      <c r="AA84">
        <f t="shared" si="15"/>
        <v>4348.9832316857974</v>
      </c>
      <c r="AB84">
        <f t="shared" si="23"/>
        <v>5024.97</v>
      </c>
      <c r="AC84">
        <f t="shared" si="41"/>
        <v>1.024</v>
      </c>
      <c r="AD84">
        <f t="shared" si="17"/>
        <v>48801.10879970211</v>
      </c>
      <c r="AE84">
        <f t="shared" si="18"/>
        <v>48731</v>
      </c>
      <c r="AF84">
        <f t="shared" si="19"/>
        <v>-1.4386899448422879E-3</v>
      </c>
      <c r="AI84">
        <f t="shared" si="42"/>
        <v>11618.318113986648</v>
      </c>
      <c r="AJ84">
        <f t="shared" si="21"/>
        <v>6586.1930298270372</v>
      </c>
      <c r="AM84">
        <f t="shared" si="22"/>
        <v>1378.7120480000001</v>
      </c>
    </row>
    <row r="85" spans="1:39" x14ac:dyDescent="0.2">
      <c r="A85" t="s">
        <v>157</v>
      </c>
      <c r="B85" t="s">
        <v>158</v>
      </c>
      <c r="C85" t="s">
        <v>92</v>
      </c>
      <c r="D85">
        <v>8040</v>
      </c>
      <c r="E85">
        <v>974897.12100000004</v>
      </c>
      <c r="F85">
        <v>50727</v>
      </c>
      <c r="G85">
        <v>18611</v>
      </c>
      <c r="H85">
        <v>5709.4110000000001</v>
      </c>
      <c r="I85">
        <v>0.96499999999999997</v>
      </c>
      <c r="J85">
        <v>2.5000000000000001E-2</v>
      </c>
      <c r="K85">
        <v>32.741999999999997</v>
      </c>
      <c r="L85">
        <v>30</v>
      </c>
      <c r="M85" s="4">
        <f t="shared" si="7"/>
        <v>50846.52447652242</v>
      </c>
      <c r="N85">
        <v>351</v>
      </c>
      <c r="O85">
        <v>0.46800000000000003</v>
      </c>
      <c r="Q85">
        <f t="shared" si="8"/>
        <v>603695.25866806391</v>
      </c>
      <c r="R85">
        <f t="shared" si="24"/>
        <v>582565.92461468163</v>
      </c>
      <c r="S85">
        <f t="shared" si="9"/>
        <v>27950.704550022925</v>
      </c>
      <c r="T85">
        <f t="shared" si="10"/>
        <v>11724.93</v>
      </c>
      <c r="V85">
        <f t="shared" si="11"/>
        <v>5709.4110000000001</v>
      </c>
      <c r="W85">
        <f t="shared" si="12"/>
        <v>1861.1000000000001</v>
      </c>
      <c r="Y85">
        <f t="shared" si="13"/>
        <v>98614.077412398066</v>
      </c>
      <c r="Z85">
        <f t="shared" si="14"/>
        <v>99797.446341346847</v>
      </c>
      <c r="AA85">
        <f t="shared" si="15"/>
        <v>4298.0185844394791</v>
      </c>
      <c r="AB85">
        <f t="shared" si="23"/>
        <v>5024.97</v>
      </c>
      <c r="AC85">
        <f>$G$158</f>
        <v>1.012</v>
      </c>
      <c r="AD85">
        <f t="shared" si="17"/>
        <v>50858.227110521424</v>
      </c>
      <c r="AE85">
        <f t="shared" si="18"/>
        <v>50727</v>
      </c>
      <c r="AF85">
        <f t="shared" si="19"/>
        <v>-2.5869282733342017E-3</v>
      </c>
      <c r="AI85">
        <f>$I$176</f>
        <v>11482.165948588372</v>
      </c>
      <c r="AJ85">
        <f t="shared" si="21"/>
        <v>6586.1930298270372</v>
      </c>
      <c r="AM85">
        <f t="shared" si="22"/>
        <v>3037.4066520000001</v>
      </c>
    </row>
    <row r="86" spans="1:39" x14ac:dyDescent="0.2">
      <c r="A86" t="s">
        <v>157</v>
      </c>
      <c r="B86" t="s">
        <v>159</v>
      </c>
      <c r="C86" t="s">
        <v>92</v>
      </c>
      <c r="D86">
        <v>3719.5</v>
      </c>
      <c r="E86">
        <v>974897.12100000004</v>
      </c>
      <c r="F86">
        <v>49744</v>
      </c>
      <c r="G86">
        <v>18611</v>
      </c>
      <c r="H86">
        <v>4726.6239999999998</v>
      </c>
      <c r="I86">
        <v>0.96499999999999997</v>
      </c>
      <c r="J86">
        <v>2.5000000000000001E-2</v>
      </c>
      <c r="K86">
        <v>31.847000000000001</v>
      </c>
      <c r="L86">
        <v>30</v>
      </c>
      <c r="M86" s="4">
        <f t="shared" si="7"/>
        <v>49863.737476522423</v>
      </c>
      <c r="N86">
        <v>352</v>
      </c>
      <c r="O86">
        <v>0.46800000000000003</v>
      </c>
      <c r="Q86">
        <f t="shared" si="8"/>
        <v>603695.25866806391</v>
      </c>
      <c r="R86">
        <f t="shared" si="24"/>
        <v>582565.92461468163</v>
      </c>
      <c r="S86">
        <f t="shared" si="9"/>
        <v>27950.704550022925</v>
      </c>
      <c r="T86">
        <f t="shared" si="10"/>
        <v>11724.93</v>
      </c>
      <c r="V86">
        <f t="shared" si="11"/>
        <v>4726.6239999999998</v>
      </c>
      <c r="W86">
        <f t="shared" si="12"/>
        <v>1861.1000000000001</v>
      </c>
      <c r="Y86">
        <f t="shared" si="13"/>
        <v>98614.077412398066</v>
      </c>
      <c r="Z86">
        <f t="shared" si="14"/>
        <v>99797.446341346847</v>
      </c>
      <c r="AA86">
        <f t="shared" si="15"/>
        <v>4298.0185844394791</v>
      </c>
      <c r="AB86">
        <f t="shared" si="23"/>
        <v>5024.97</v>
      </c>
      <c r="AC86">
        <f t="shared" ref="AC86:AC90" si="43">$G$158</f>
        <v>1.012</v>
      </c>
      <c r="AD86">
        <f t="shared" si="17"/>
        <v>49875.44011052142</v>
      </c>
      <c r="AE86">
        <f t="shared" si="18"/>
        <v>49744</v>
      </c>
      <c r="AF86">
        <f t="shared" si="19"/>
        <v>-2.6423309448661172E-3</v>
      </c>
      <c r="AI86">
        <f t="shared" ref="AI86:AI90" si="44">$I$176</f>
        <v>11482.165948588372</v>
      </c>
      <c r="AJ86">
        <f t="shared" si="21"/>
        <v>6586.1930298270372</v>
      </c>
      <c r="AM86">
        <f t="shared" si="22"/>
        <v>2514.5639679999999</v>
      </c>
    </row>
    <row r="87" spans="1:39" x14ac:dyDescent="0.2">
      <c r="A87" t="s">
        <v>157</v>
      </c>
      <c r="B87" t="s">
        <v>160</v>
      </c>
      <c r="C87" t="s">
        <v>92</v>
      </c>
      <c r="D87">
        <v>25219.7</v>
      </c>
      <c r="E87">
        <v>974897.12100000004</v>
      </c>
      <c r="F87">
        <v>59956</v>
      </c>
      <c r="G87">
        <v>18611</v>
      </c>
      <c r="H87">
        <v>14938.814</v>
      </c>
      <c r="I87">
        <v>0.96499999999999997</v>
      </c>
      <c r="J87">
        <v>2.5000000000000001E-2</v>
      </c>
      <c r="K87">
        <v>35.795000000000002</v>
      </c>
      <c r="L87">
        <v>30</v>
      </c>
      <c r="M87" s="4">
        <f t="shared" si="7"/>
        <v>60075.927476522418</v>
      </c>
      <c r="N87">
        <v>353</v>
      </c>
      <c r="O87">
        <v>0.46800000000000003</v>
      </c>
      <c r="Q87">
        <f t="shared" si="8"/>
        <v>603695.25866806391</v>
      </c>
      <c r="R87">
        <f t="shared" si="24"/>
        <v>582565.92461468163</v>
      </c>
      <c r="S87">
        <f t="shared" si="9"/>
        <v>27950.704550022925</v>
      </c>
      <c r="T87">
        <f t="shared" si="10"/>
        <v>11724.93</v>
      </c>
      <c r="V87">
        <f t="shared" si="11"/>
        <v>14938.814</v>
      </c>
      <c r="W87">
        <f t="shared" si="12"/>
        <v>1861.1000000000001</v>
      </c>
      <c r="Y87">
        <f t="shared" si="13"/>
        <v>98614.077412398066</v>
      </c>
      <c r="Z87">
        <f t="shared" si="14"/>
        <v>99797.446341346847</v>
      </c>
      <c r="AA87">
        <f t="shared" si="15"/>
        <v>4298.0185844394791</v>
      </c>
      <c r="AB87">
        <f t="shared" si="23"/>
        <v>5024.97</v>
      </c>
      <c r="AC87">
        <f t="shared" si="43"/>
        <v>1.012</v>
      </c>
      <c r="AD87">
        <f t="shared" si="17"/>
        <v>60087.630110521422</v>
      </c>
      <c r="AE87">
        <f t="shared" si="18"/>
        <v>59956</v>
      </c>
      <c r="AF87">
        <f t="shared" si="19"/>
        <v>-2.1954451684805935E-3</v>
      </c>
      <c r="AI87">
        <f t="shared" si="44"/>
        <v>11482.165948588372</v>
      </c>
      <c r="AJ87">
        <f t="shared" si="21"/>
        <v>6586.1930298270372</v>
      </c>
      <c r="AM87">
        <f t="shared" si="22"/>
        <v>7947.4490480000004</v>
      </c>
    </row>
    <row r="88" spans="1:39" x14ac:dyDescent="0.2">
      <c r="A88" t="s">
        <v>157</v>
      </c>
      <c r="B88" t="s">
        <v>161</v>
      </c>
      <c r="C88" t="s">
        <v>92</v>
      </c>
      <c r="D88">
        <v>25306.9</v>
      </c>
      <c r="E88">
        <v>974897.12100000004</v>
      </c>
      <c r="F88">
        <v>57089</v>
      </c>
      <c r="G88">
        <v>18611</v>
      </c>
      <c r="H88">
        <v>12071.126</v>
      </c>
      <c r="I88">
        <v>0.96499999999999997</v>
      </c>
      <c r="J88">
        <v>2.5000000000000001E-2</v>
      </c>
      <c r="K88">
        <v>35.375999999999998</v>
      </c>
      <c r="L88">
        <v>30</v>
      </c>
      <c r="M88" s="4">
        <f t="shared" si="7"/>
        <v>57208.239476522416</v>
      </c>
      <c r="N88">
        <v>354</v>
      </c>
      <c r="O88">
        <v>0.46800000000000003</v>
      </c>
      <c r="Q88">
        <f t="shared" si="8"/>
        <v>603695.25866806391</v>
      </c>
      <c r="R88">
        <f t="shared" si="24"/>
        <v>582565.92461468163</v>
      </c>
      <c r="S88">
        <f t="shared" si="9"/>
        <v>27950.704550022925</v>
      </c>
      <c r="T88">
        <f t="shared" si="10"/>
        <v>11724.93</v>
      </c>
      <c r="V88">
        <f t="shared" si="11"/>
        <v>12071.126</v>
      </c>
      <c r="W88">
        <f t="shared" si="12"/>
        <v>1861.1000000000001</v>
      </c>
      <c r="Y88">
        <f t="shared" si="13"/>
        <v>98614.077412398066</v>
      </c>
      <c r="Z88">
        <f t="shared" si="14"/>
        <v>99797.446341346847</v>
      </c>
      <c r="AA88">
        <f t="shared" si="15"/>
        <v>4298.0185844394791</v>
      </c>
      <c r="AB88">
        <f t="shared" si="23"/>
        <v>5024.97</v>
      </c>
      <c r="AC88">
        <f t="shared" si="43"/>
        <v>1.012</v>
      </c>
      <c r="AD88">
        <f t="shared" si="17"/>
        <v>57219.942110521428</v>
      </c>
      <c r="AE88">
        <f t="shared" si="18"/>
        <v>57089</v>
      </c>
      <c r="AF88">
        <f t="shared" si="19"/>
        <v>-2.2936486980228736E-3</v>
      </c>
      <c r="AI88">
        <f t="shared" si="44"/>
        <v>11482.165948588372</v>
      </c>
      <c r="AJ88">
        <f t="shared" si="21"/>
        <v>6586.1930298270372</v>
      </c>
      <c r="AM88">
        <f t="shared" si="22"/>
        <v>6421.8390320000008</v>
      </c>
    </row>
    <row r="89" spans="1:39" x14ac:dyDescent="0.2">
      <c r="A89" t="s">
        <v>157</v>
      </c>
      <c r="B89" t="s">
        <v>162</v>
      </c>
      <c r="C89" t="s">
        <v>92</v>
      </c>
      <c r="D89">
        <v>48401.4</v>
      </c>
      <c r="E89">
        <v>974897.12100000004</v>
      </c>
      <c r="F89">
        <v>65067</v>
      </c>
      <c r="G89">
        <v>18611</v>
      </c>
      <c r="H89">
        <v>20049.885999999999</v>
      </c>
      <c r="I89">
        <v>0.96499999999999997</v>
      </c>
      <c r="J89">
        <v>2.5000000000000001E-2</v>
      </c>
      <c r="K89">
        <v>38.72</v>
      </c>
      <c r="L89">
        <v>30</v>
      </c>
      <c r="M89" s="4">
        <f t="shared" si="7"/>
        <v>65186.999476522418</v>
      </c>
      <c r="N89">
        <v>355</v>
      </c>
      <c r="O89">
        <v>0.46800000000000003</v>
      </c>
      <c r="Q89">
        <f t="shared" si="8"/>
        <v>603695.25866806391</v>
      </c>
      <c r="R89">
        <f t="shared" si="24"/>
        <v>582565.92461468163</v>
      </c>
      <c r="S89">
        <f t="shared" si="9"/>
        <v>27950.704550022925</v>
      </c>
      <c r="T89">
        <f t="shared" si="10"/>
        <v>11724.93</v>
      </c>
      <c r="V89">
        <f t="shared" si="11"/>
        <v>20049.885999999999</v>
      </c>
      <c r="W89">
        <f t="shared" si="12"/>
        <v>1861.1000000000001</v>
      </c>
      <c r="Y89">
        <f t="shared" si="13"/>
        <v>98614.077412398066</v>
      </c>
      <c r="Z89">
        <f t="shared" si="14"/>
        <v>99797.446341346847</v>
      </c>
      <c r="AA89">
        <f t="shared" si="15"/>
        <v>4298.0185844394791</v>
      </c>
      <c r="AB89">
        <f t="shared" si="23"/>
        <v>5024.97</v>
      </c>
      <c r="AC89">
        <f t="shared" si="43"/>
        <v>1.012</v>
      </c>
      <c r="AD89">
        <f t="shared" si="17"/>
        <v>65198.702110521423</v>
      </c>
      <c r="AE89">
        <f t="shared" si="18"/>
        <v>65067</v>
      </c>
      <c r="AF89">
        <f t="shared" si="19"/>
        <v>-2.0240999357803891E-3</v>
      </c>
      <c r="AI89">
        <f t="shared" si="44"/>
        <v>11482.165948588372</v>
      </c>
      <c r="AJ89">
        <f t="shared" si="21"/>
        <v>6586.1930298270372</v>
      </c>
      <c r="AM89">
        <f t="shared" si="22"/>
        <v>10666.539352</v>
      </c>
    </row>
    <row r="90" spans="1:39" x14ac:dyDescent="0.2">
      <c r="A90" t="s">
        <v>157</v>
      </c>
      <c r="B90" t="s">
        <v>163</v>
      </c>
      <c r="C90" t="s">
        <v>92</v>
      </c>
      <c r="D90">
        <v>39619.800000000003</v>
      </c>
      <c r="E90">
        <v>974897.12100000004</v>
      </c>
      <c r="F90">
        <v>65401</v>
      </c>
      <c r="G90">
        <v>18611</v>
      </c>
      <c r="H90">
        <v>20383.115000000002</v>
      </c>
      <c r="I90">
        <v>0.96499999999999997</v>
      </c>
      <c r="J90">
        <v>2.5000000000000001E-2</v>
      </c>
      <c r="K90">
        <v>38.220999999999997</v>
      </c>
      <c r="L90">
        <v>30</v>
      </c>
      <c r="M90" s="4">
        <f t="shared" si="7"/>
        <v>65520.228476522418</v>
      </c>
      <c r="N90">
        <v>356</v>
      </c>
      <c r="O90">
        <v>0.46800000000000003</v>
      </c>
      <c r="Q90">
        <f t="shared" si="8"/>
        <v>603695.25866806391</v>
      </c>
      <c r="R90">
        <f t="shared" si="24"/>
        <v>582565.92461468163</v>
      </c>
      <c r="S90">
        <f t="shared" si="9"/>
        <v>27950.704550022925</v>
      </c>
      <c r="T90">
        <f t="shared" si="10"/>
        <v>11724.93</v>
      </c>
      <c r="V90">
        <f t="shared" si="11"/>
        <v>20383.115000000002</v>
      </c>
      <c r="W90">
        <f t="shared" si="12"/>
        <v>1861.1000000000001</v>
      </c>
      <c r="Y90">
        <f t="shared" si="13"/>
        <v>98614.077412398066</v>
      </c>
      <c r="Z90">
        <f t="shared" si="14"/>
        <v>99797.446341346847</v>
      </c>
      <c r="AA90">
        <f t="shared" si="15"/>
        <v>4298.0185844394791</v>
      </c>
      <c r="AB90">
        <f t="shared" si="23"/>
        <v>5024.97</v>
      </c>
      <c r="AC90">
        <f t="shared" si="43"/>
        <v>1.012</v>
      </c>
      <c r="AD90">
        <f t="shared" si="17"/>
        <v>65531.931110521429</v>
      </c>
      <c r="AE90">
        <f t="shared" si="18"/>
        <v>65401</v>
      </c>
      <c r="AF90">
        <f t="shared" si="19"/>
        <v>-2.0019741368087524E-3</v>
      </c>
      <c r="AI90">
        <f t="shared" si="44"/>
        <v>11482.165948588372</v>
      </c>
      <c r="AJ90">
        <f t="shared" si="21"/>
        <v>6586.1930298270372</v>
      </c>
      <c r="AM90">
        <f t="shared" si="22"/>
        <v>10843.817180000002</v>
      </c>
    </row>
    <row r="91" spans="1:39" x14ac:dyDescent="0.2">
      <c r="A91" t="s">
        <v>164</v>
      </c>
      <c r="B91" t="s">
        <v>165</v>
      </c>
      <c r="C91" t="s">
        <v>92</v>
      </c>
      <c r="D91">
        <v>1612.4</v>
      </c>
      <c r="E91">
        <v>974897.12100000004</v>
      </c>
      <c r="F91">
        <v>50604</v>
      </c>
      <c r="G91">
        <v>18611</v>
      </c>
      <c r="H91">
        <v>4640.7709999999997</v>
      </c>
      <c r="I91">
        <v>0.98599999999999999</v>
      </c>
      <c r="J91">
        <v>2.5000000000000001E-2</v>
      </c>
      <c r="K91">
        <v>35.656999999999996</v>
      </c>
      <c r="L91">
        <v>30</v>
      </c>
      <c r="M91" s="4">
        <f t="shared" si="7"/>
        <v>50760.142904508917</v>
      </c>
      <c r="N91">
        <v>365</v>
      </c>
      <c r="O91">
        <v>0.46800000000000003</v>
      </c>
      <c r="Q91">
        <f t="shared" si="8"/>
        <v>603695.25866806391</v>
      </c>
      <c r="R91">
        <f t="shared" si="24"/>
        <v>595243.52504671097</v>
      </c>
      <c r="S91">
        <f t="shared" si="9"/>
        <v>28558.958224168502</v>
      </c>
      <c r="T91">
        <f t="shared" si="10"/>
        <v>11724.93</v>
      </c>
      <c r="V91">
        <f t="shared" si="11"/>
        <v>4640.7709999999997</v>
      </c>
      <c r="W91">
        <f t="shared" si="12"/>
        <v>1861.1000000000001</v>
      </c>
      <c r="Y91">
        <f t="shared" si="13"/>
        <v>98614.077412398066</v>
      </c>
      <c r="Z91">
        <f t="shared" si="14"/>
        <v>101671.1138121824</v>
      </c>
      <c r="AA91">
        <f t="shared" si="15"/>
        <v>4378.7126092461494</v>
      </c>
      <c r="AB91">
        <f t="shared" si="23"/>
        <v>5024.97</v>
      </c>
      <c r="AC91">
        <f>$G$159</f>
        <v>1.0309999999999999</v>
      </c>
      <c r="AD91">
        <f t="shared" si="17"/>
        <v>50757.835778516892</v>
      </c>
      <c r="AE91">
        <f t="shared" si="18"/>
        <v>50604</v>
      </c>
      <c r="AF91">
        <f t="shared" si="19"/>
        <v>-3.0399924614040764E-3</v>
      </c>
      <c r="AI91">
        <f>$I$177</f>
        <v>11697.740210468979</v>
      </c>
      <c r="AJ91">
        <f t="shared" si="21"/>
        <v>6586.1930298270372</v>
      </c>
      <c r="AM91">
        <f t="shared" si="22"/>
        <v>2468.8901719999999</v>
      </c>
    </row>
    <row r="92" spans="1:39" x14ac:dyDescent="0.2">
      <c r="A92" t="s">
        <v>164</v>
      </c>
      <c r="B92" t="s">
        <v>166</v>
      </c>
      <c r="C92" t="s">
        <v>92</v>
      </c>
      <c r="D92">
        <v>1022</v>
      </c>
      <c r="E92">
        <v>974897.12100000004</v>
      </c>
      <c r="F92">
        <v>51425</v>
      </c>
      <c r="G92">
        <v>18611</v>
      </c>
      <c r="H92">
        <v>5461.5240000000003</v>
      </c>
      <c r="I92">
        <v>0.98599999999999999</v>
      </c>
      <c r="J92">
        <v>2.5000000000000001E-2</v>
      </c>
      <c r="K92">
        <v>33.615000000000002</v>
      </c>
      <c r="L92">
        <v>30</v>
      </c>
      <c r="M92" s="4">
        <f t="shared" si="7"/>
        <v>51580.895904508914</v>
      </c>
      <c r="N92">
        <v>366</v>
      </c>
      <c r="O92">
        <v>0.46800000000000003</v>
      </c>
      <c r="Q92">
        <f t="shared" si="8"/>
        <v>603695.25866806391</v>
      </c>
      <c r="R92">
        <f t="shared" si="24"/>
        <v>595243.52504671097</v>
      </c>
      <c r="S92">
        <f t="shared" si="9"/>
        <v>28558.958224168502</v>
      </c>
      <c r="T92">
        <f t="shared" si="10"/>
        <v>11724.93</v>
      </c>
      <c r="V92">
        <f t="shared" si="11"/>
        <v>5461.5240000000003</v>
      </c>
      <c r="W92">
        <f t="shared" si="12"/>
        <v>1861.1000000000001</v>
      </c>
      <c r="Y92">
        <f t="shared" si="13"/>
        <v>98614.077412398066</v>
      </c>
      <c r="Z92">
        <f t="shared" si="14"/>
        <v>101671.1138121824</v>
      </c>
      <c r="AA92">
        <f t="shared" si="15"/>
        <v>4378.7126092461494</v>
      </c>
      <c r="AB92">
        <f t="shared" si="23"/>
        <v>5024.97</v>
      </c>
      <c r="AC92">
        <f t="shared" ref="AC92:AC94" si="45">$G$159</f>
        <v>1.0309999999999999</v>
      </c>
      <c r="AD92">
        <f t="shared" si="17"/>
        <v>51578.588778516889</v>
      </c>
      <c r="AE92">
        <f t="shared" si="18"/>
        <v>51425</v>
      </c>
      <c r="AF92">
        <f t="shared" si="19"/>
        <v>-2.9866558778199096E-3</v>
      </c>
      <c r="AI92">
        <f t="shared" ref="AI92:AI94" si="46">$I$177</f>
        <v>11697.740210468979</v>
      </c>
      <c r="AJ92">
        <f t="shared" si="21"/>
        <v>6586.1930298270372</v>
      </c>
      <c r="AM92">
        <f t="shared" si="22"/>
        <v>2905.5307680000005</v>
      </c>
    </row>
    <row r="93" spans="1:39" x14ac:dyDescent="0.2">
      <c r="A93" t="s">
        <v>164</v>
      </c>
      <c r="B93" t="s">
        <v>167</v>
      </c>
      <c r="C93" t="s">
        <v>92</v>
      </c>
      <c r="D93">
        <v>13742.2</v>
      </c>
      <c r="E93">
        <v>974897.12100000004</v>
      </c>
      <c r="F93">
        <v>54920</v>
      </c>
      <c r="G93">
        <v>18611</v>
      </c>
      <c r="H93">
        <v>8956.1090000000004</v>
      </c>
      <c r="I93">
        <v>0.98599999999999999</v>
      </c>
      <c r="J93">
        <v>2.5000000000000001E-2</v>
      </c>
      <c r="K93">
        <v>37.871000000000002</v>
      </c>
      <c r="L93">
        <v>30</v>
      </c>
      <c r="M93" s="4">
        <f t="shared" si="7"/>
        <v>55075.480904508921</v>
      </c>
      <c r="N93">
        <v>367</v>
      </c>
      <c r="O93">
        <v>0.46800000000000003</v>
      </c>
      <c r="Q93">
        <f t="shared" si="8"/>
        <v>603695.25866806391</v>
      </c>
      <c r="R93">
        <f t="shared" si="24"/>
        <v>595243.52504671097</v>
      </c>
      <c r="S93">
        <f t="shared" si="9"/>
        <v>28558.958224168502</v>
      </c>
      <c r="T93">
        <f t="shared" si="10"/>
        <v>11724.93</v>
      </c>
      <c r="V93">
        <f t="shared" si="11"/>
        <v>8956.1090000000004</v>
      </c>
      <c r="W93">
        <f t="shared" si="12"/>
        <v>1861.1000000000001</v>
      </c>
      <c r="Y93">
        <f t="shared" si="13"/>
        <v>98614.077412398066</v>
      </c>
      <c r="Z93">
        <f t="shared" si="14"/>
        <v>101671.1138121824</v>
      </c>
      <c r="AA93">
        <f t="shared" si="15"/>
        <v>4378.7126092461494</v>
      </c>
      <c r="AB93">
        <f t="shared" si="23"/>
        <v>5024.97</v>
      </c>
      <c r="AC93">
        <f t="shared" si="45"/>
        <v>1.0309999999999999</v>
      </c>
      <c r="AD93">
        <f t="shared" si="17"/>
        <v>55073.173778516895</v>
      </c>
      <c r="AE93">
        <f t="shared" si="18"/>
        <v>54920</v>
      </c>
      <c r="AF93">
        <f t="shared" si="19"/>
        <v>-2.789034568770853E-3</v>
      </c>
      <c r="AI93">
        <f t="shared" si="46"/>
        <v>11697.740210468979</v>
      </c>
      <c r="AJ93">
        <f t="shared" si="21"/>
        <v>6586.1930298270372</v>
      </c>
      <c r="AM93">
        <f t="shared" si="22"/>
        <v>4764.6499880000001</v>
      </c>
    </row>
    <row r="94" spans="1:39" x14ac:dyDescent="0.2">
      <c r="A94" t="s">
        <v>164</v>
      </c>
      <c r="B94" t="s">
        <v>168</v>
      </c>
      <c r="C94" t="s">
        <v>92</v>
      </c>
      <c r="D94">
        <v>15728.7</v>
      </c>
      <c r="E94">
        <v>974897.12100000004</v>
      </c>
      <c r="F94">
        <v>59834</v>
      </c>
      <c r="G94">
        <v>18611</v>
      </c>
      <c r="H94">
        <v>13870.761</v>
      </c>
      <c r="I94">
        <v>0.98599999999999999</v>
      </c>
      <c r="J94">
        <v>2.5000000000000001E-2</v>
      </c>
      <c r="K94">
        <v>38.731999999999999</v>
      </c>
      <c r="L94">
        <v>30</v>
      </c>
      <c r="M94" s="4">
        <f t="shared" ref="M94:M102" si="47">E94*I94*(EXP(J94*L94)*(EXP(J94)-1))/(EXP(J94*L94)-1)+H94</f>
        <v>59990.132904508915</v>
      </c>
      <c r="N94">
        <v>368</v>
      </c>
      <c r="O94">
        <v>0.46800000000000003</v>
      </c>
      <c r="Q94">
        <f t="shared" ref="Q94:Q102" si="48">$W$16</f>
        <v>603695.25866806391</v>
      </c>
      <c r="R94">
        <f t="shared" si="24"/>
        <v>595243.52504671097</v>
      </c>
      <c r="S94">
        <f t="shared" ref="S94:S102" si="49">R94*(EXP(J94*L94)*(EXP(J94)-1))/(EXP(J94*L94)-1)</f>
        <v>28558.958224168502</v>
      </c>
      <c r="T94">
        <f t="shared" ref="T94:T102" si="50">G94*0.63</f>
        <v>11724.93</v>
      </c>
      <c r="V94">
        <f t="shared" ref="V94:V102" si="51">H94</f>
        <v>13870.761</v>
      </c>
      <c r="W94">
        <f t="shared" ref="W94:W102" si="52">0.1*G94</f>
        <v>1861.1000000000001</v>
      </c>
      <c r="Y94">
        <f t="shared" ref="Y94:Y102" si="53">$W$18</f>
        <v>98614.077412398066</v>
      </c>
      <c r="Z94">
        <f t="shared" ref="Z94:Z102" si="54">Y94*AC94</f>
        <v>101671.1138121824</v>
      </c>
      <c r="AA94">
        <f t="shared" ref="AA94:AA102" si="55">Z94*(EXP(J94*15)*(EXP(J94)-1))/(EXP(J94*15)-1)*(1-O94)</f>
        <v>4378.7126092461494</v>
      </c>
      <c r="AB94">
        <f t="shared" si="23"/>
        <v>5024.97</v>
      </c>
      <c r="AC94">
        <f t="shared" si="45"/>
        <v>1.0309999999999999</v>
      </c>
      <c r="AD94">
        <f t="shared" ref="AD94:AD102" si="56">AA94/0.9+V94+S94*1.3/0.9</f>
        <v>59987.82577851689</v>
      </c>
      <c r="AE94">
        <f t="shared" ref="AE94:AE102" si="57">F94</f>
        <v>59834</v>
      </c>
      <c r="AF94">
        <f t="shared" ref="AF94:AF102" si="58">(AE94-AD94)/AE94</f>
        <v>-2.5708757314719028E-3</v>
      </c>
      <c r="AI94">
        <f t="shared" si="46"/>
        <v>11697.740210468979</v>
      </c>
      <c r="AJ94">
        <f t="shared" ref="AJ94:AJ102" si="59">$J$166</f>
        <v>6586.1930298270372</v>
      </c>
      <c r="AM94">
        <f t="shared" ref="AM94:AM102" si="60">V94*(1-O94)</f>
        <v>7379.2448520000007</v>
      </c>
    </row>
    <row r="95" spans="1:39" x14ac:dyDescent="0.2">
      <c r="A95" t="s">
        <v>169</v>
      </c>
      <c r="B95" t="s">
        <v>170</v>
      </c>
      <c r="C95" t="s">
        <v>92</v>
      </c>
      <c r="D95">
        <v>12277.7</v>
      </c>
      <c r="E95">
        <v>974897.12100000004</v>
      </c>
      <c r="F95">
        <v>49599</v>
      </c>
      <c r="G95">
        <v>18611</v>
      </c>
      <c r="H95">
        <v>3635.7260000000001</v>
      </c>
      <c r="I95">
        <v>0.98599999999999999</v>
      </c>
      <c r="J95">
        <v>2.5000000000000001E-2</v>
      </c>
      <c r="K95">
        <v>35.264000000000003</v>
      </c>
      <c r="L95">
        <v>30</v>
      </c>
      <c r="M95" s="4">
        <f t="shared" si="47"/>
        <v>49755.097904508919</v>
      </c>
      <c r="N95">
        <v>378</v>
      </c>
      <c r="O95">
        <v>0.46800000000000003</v>
      </c>
      <c r="Q95">
        <f t="shared" si="48"/>
        <v>603695.25866806391</v>
      </c>
      <c r="R95">
        <f t="shared" si="24"/>
        <v>595243.52504671097</v>
      </c>
      <c r="S95">
        <f t="shared" si="49"/>
        <v>28558.958224168502</v>
      </c>
      <c r="T95">
        <f t="shared" si="50"/>
        <v>11724.93</v>
      </c>
      <c r="V95">
        <f t="shared" si="51"/>
        <v>3635.7260000000001</v>
      </c>
      <c r="W95">
        <f t="shared" si="52"/>
        <v>1861.1000000000001</v>
      </c>
      <c r="Y95">
        <f t="shared" si="53"/>
        <v>98614.077412398066</v>
      </c>
      <c r="Z95">
        <f t="shared" si="54"/>
        <v>101671.1138121824</v>
      </c>
      <c r="AA95">
        <f t="shared" si="55"/>
        <v>4378.7126092461494</v>
      </c>
      <c r="AB95">
        <f t="shared" ref="AB95:AB102" si="61">0.27*G95</f>
        <v>5024.97</v>
      </c>
      <c r="AC95">
        <f>$G$160</f>
        <v>1.0309999999999999</v>
      </c>
      <c r="AD95">
        <f t="shared" si="56"/>
        <v>49752.790778516894</v>
      </c>
      <c r="AE95">
        <f t="shared" si="57"/>
        <v>49599</v>
      </c>
      <c r="AF95">
        <f t="shared" si="58"/>
        <v>-3.1006830483859276E-3</v>
      </c>
      <c r="AI95">
        <f>$I$178</f>
        <v>11697.740210468979</v>
      </c>
      <c r="AJ95">
        <f t="shared" si="59"/>
        <v>6586.1930298270372</v>
      </c>
      <c r="AM95">
        <f t="shared" si="60"/>
        <v>1934.2062320000002</v>
      </c>
    </row>
    <row r="96" spans="1:39" x14ac:dyDescent="0.2">
      <c r="A96" t="s">
        <v>169</v>
      </c>
      <c r="B96" t="s">
        <v>171</v>
      </c>
      <c r="C96" t="s">
        <v>92</v>
      </c>
      <c r="D96">
        <v>1062.4000000000001</v>
      </c>
      <c r="E96">
        <v>974897.12100000004</v>
      </c>
      <c r="F96">
        <v>49081</v>
      </c>
      <c r="G96">
        <v>18611</v>
      </c>
      <c r="H96">
        <v>3117.4859999999999</v>
      </c>
      <c r="I96">
        <v>0.98599999999999999</v>
      </c>
      <c r="J96">
        <v>2.5000000000000001E-2</v>
      </c>
      <c r="K96">
        <v>34.381</v>
      </c>
      <c r="L96">
        <v>30</v>
      </c>
      <c r="M96" s="4">
        <f t="shared" si="47"/>
        <v>49236.857904508914</v>
      </c>
      <c r="N96">
        <v>379</v>
      </c>
      <c r="O96">
        <v>0.46800000000000003</v>
      </c>
      <c r="Q96">
        <f t="shared" si="48"/>
        <v>603695.25866806391</v>
      </c>
      <c r="R96">
        <f t="shared" ref="R96:R102" si="62">Q96*I96</f>
        <v>595243.52504671097</v>
      </c>
      <c r="S96">
        <f t="shared" si="49"/>
        <v>28558.958224168502</v>
      </c>
      <c r="T96">
        <f t="shared" si="50"/>
        <v>11724.93</v>
      </c>
      <c r="V96">
        <f t="shared" si="51"/>
        <v>3117.4859999999999</v>
      </c>
      <c r="W96">
        <f t="shared" si="52"/>
        <v>1861.1000000000001</v>
      </c>
      <c r="Y96">
        <f t="shared" si="53"/>
        <v>98614.077412398066</v>
      </c>
      <c r="Z96">
        <f t="shared" si="54"/>
        <v>101671.1138121824</v>
      </c>
      <c r="AA96">
        <f t="shared" si="55"/>
        <v>4378.7126092461494</v>
      </c>
      <c r="AB96">
        <f t="shared" si="61"/>
        <v>5024.97</v>
      </c>
      <c r="AC96">
        <f t="shared" ref="AC96:AC100" si="63">$G$160</f>
        <v>1.0309999999999999</v>
      </c>
      <c r="AD96">
        <f t="shared" si="56"/>
        <v>49234.550778516888</v>
      </c>
      <c r="AE96">
        <f t="shared" si="57"/>
        <v>49081</v>
      </c>
      <c r="AF96">
        <f t="shared" si="58"/>
        <v>-3.1285177261443E-3</v>
      </c>
      <c r="AI96">
        <f t="shared" ref="AI96:AI100" si="64">$I$178</f>
        <v>11697.740210468979</v>
      </c>
      <c r="AJ96">
        <f t="shared" si="59"/>
        <v>6586.1930298270372</v>
      </c>
      <c r="AM96">
        <f t="shared" si="60"/>
        <v>1658.5025519999999</v>
      </c>
    </row>
    <row r="97" spans="1:39" x14ac:dyDescent="0.2">
      <c r="A97" t="s">
        <v>169</v>
      </c>
      <c r="B97" t="s">
        <v>172</v>
      </c>
      <c r="C97" t="s">
        <v>92</v>
      </c>
      <c r="D97">
        <v>44203.8</v>
      </c>
      <c r="E97">
        <v>974897.12100000004</v>
      </c>
      <c r="F97">
        <v>54262</v>
      </c>
      <c r="G97">
        <v>18611</v>
      </c>
      <c r="H97">
        <v>8298.7620000000006</v>
      </c>
      <c r="I97">
        <v>0.98599999999999999</v>
      </c>
      <c r="J97">
        <v>2.5000000000000001E-2</v>
      </c>
      <c r="K97">
        <v>37.036000000000001</v>
      </c>
      <c r="L97">
        <v>30</v>
      </c>
      <c r="M97" s="4">
        <f t="shared" si="47"/>
        <v>54418.133904508919</v>
      </c>
      <c r="N97">
        <v>380</v>
      </c>
      <c r="O97">
        <v>0.46800000000000003</v>
      </c>
      <c r="Q97">
        <f t="shared" si="48"/>
        <v>603695.25866806391</v>
      </c>
      <c r="R97">
        <f t="shared" si="62"/>
        <v>595243.52504671097</v>
      </c>
      <c r="S97">
        <f t="shared" si="49"/>
        <v>28558.958224168502</v>
      </c>
      <c r="T97">
        <f t="shared" si="50"/>
        <v>11724.93</v>
      </c>
      <c r="V97">
        <f t="shared" si="51"/>
        <v>8298.7620000000006</v>
      </c>
      <c r="W97">
        <f t="shared" si="52"/>
        <v>1861.1000000000001</v>
      </c>
      <c r="Y97">
        <f t="shared" si="53"/>
        <v>98614.077412398066</v>
      </c>
      <c r="Z97">
        <f t="shared" si="54"/>
        <v>101671.1138121824</v>
      </c>
      <c r="AA97">
        <f t="shared" si="55"/>
        <v>4378.7126092461494</v>
      </c>
      <c r="AB97">
        <f t="shared" si="61"/>
        <v>5024.97</v>
      </c>
      <c r="AC97">
        <f t="shared" si="63"/>
        <v>1.0309999999999999</v>
      </c>
      <c r="AD97">
        <f t="shared" si="56"/>
        <v>54415.826778516894</v>
      </c>
      <c r="AE97">
        <f t="shared" si="57"/>
        <v>54262</v>
      </c>
      <c r="AF97">
        <f t="shared" si="58"/>
        <v>-2.8348895823392737E-3</v>
      </c>
      <c r="AI97">
        <f t="shared" si="64"/>
        <v>11697.740210468979</v>
      </c>
      <c r="AJ97">
        <f t="shared" si="59"/>
        <v>6586.1930298270372</v>
      </c>
      <c r="AM97">
        <f t="shared" si="60"/>
        <v>4414.9413840000007</v>
      </c>
    </row>
    <row r="98" spans="1:39" x14ac:dyDescent="0.2">
      <c r="A98" t="s">
        <v>169</v>
      </c>
      <c r="B98" t="s">
        <v>173</v>
      </c>
      <c r="C98" t="s">
        <v>92</v>
      </c>
      <c r="D98">
        <v>19806.400000000001</v>
      </c>
      <c r="E98">
        <v>974897.12100000004</v>
      </c>
      <c r="F98">
        <v>52803</v>
      </c>
      <c r="G98">
        <v>18611</v>
      </c>
      <c r="H98">
        <v>6839.7950000000001</v>
      </c>
      <c r="I98">
        <v>0.98599999999999999</v>
      </c>
      <c r="J98">
        <v>2.5000000000000001E-2</v>
      </c>
      <c r="K98">
        <v>36.548000000000002</v>
      </c>
      <c r="L98">
        <v>30</v>
      </c>
      <c r="M98" s="4">
        <f t="shared" si="47"/>
        <v>52959.166904508915</v>
      </c>
      <c r="N98">
        <v>381</v>
      </c>
      <c r="O98">
        <v>0.46800000000000003</v>
      </c>
      <c r="Q98">
        <f t="shared" si="48"/>
        <v>603695.25866806391</v>
      </c>
      <c r="R98">
        <f t="shared" si="62"/>
        <v>595243.52504671097</v>
      </c>
      <c r="S98">
        <f t="shared" si="49"/>
        <v>28558.958224168502</v>
      </c>
      <c r="T98">
        <f t="shared" si="50"/>
        <v>11724.93</v>
      </c>
      <c r="V98">
        <f t="shared" si="51"/>
        <v>6839.7950000000001</v>
      </c>
      <c r="W98">
        <f t="shared" si="52"/>
        <v>1861.1000000000001</v>
      </c>
      <c r="Y98">
        <f t="shared" si="53"/>
        <v>98614.077412398066</v>
      </c>
      <c r="Z98">
        <f t="shared" si="54"/>
        <v>101671.1138121824</v>
      </c>
      <c r="AA98">
        <f t="shared" si="55"/>
        <v>4378.7126092461494</v>
      </c>
      <c r="AB98">
        <f t="shared" si="61"/>
        <v>5024.97</v>
      </c>
      <c r="AC98">
        <f t="shared" si="63"/>
        <v>1.0309999999999999</v>
      </c>
      <c r="AD98">
        <f t="shared" si="56"/>
        <v>52956.859778516889</v>
      </c>
      <c r="AE98">
        <f t="shared" si="57"/>
        <v>52803</v>
      </c>
      <c r="AF98">
        <f t="shared" si="58"/>
        <v>-2.9138453973616934E-3</v>
      </c>
      <c r="AI98">
        <f t="shared" si="64"/>
        <v>11697.740210468979</v>
      </c>
      <c r="AJ98">
        <f t="shared" si="59"/>
        <v>6586.1930298270372</v>
      </c>
      <c r="AM98">
        <f t="shared" si="60"/>
        <v>3638.7709400000003</v>
      </c>
    </row>
    <row r="99" spans="1:39" x14ac:dyDescent="0.2">
      <c r="A99" t="s">
        <v>169</v>
      </c>
      <c r="B99" t="s">
        <v>174</v>
      </c>
      <c r="C99" t="s">
        <v>92</v>
      </c>
      <c r="D99">
        <v>86994.9</v>
      </c>
      <c r="E99">
        <v>974897.12100000004</v>
      </c>
      <c r="F99">
        <v>59148</v>
      </c>
      <c r="G99">
        <v>18611</v>
      </c>
      <c r="H99">
        <v>13184.975</v>
      </c>
      <c r="I99">
        <v>0.98599999999999999</v>
      </c>
      <c r="J99">
        <v>2.5000000000000001E-2</v>
      </c>
      <c r="K99">
        <v>39.1</v>
      </c>
      <c r="L99">
        <v>30</v>
      </c>
      <c r="M99" s="4">
        <f t="shared" si="47"/>
        <v>59304.346904508915</v>
      </c>
      <c r="N99">
        <v>382</v>
      </c>
      <c r="O99">
        <v>0.46800000000000003</v>
      </c>
      <c r="Q99">
        <f t="shared" si="48"/>
        <v>603695.25866806391</v>
      </c>
      <c r="R99">
        <f t="shared" si="62"/>
        <v>595243.52504671097</v>
      </c>
      <c r="S99">
        <f t="shared" si="49"/>
        <v>28558.958224168502</v>
      </c>
      <c r="T99">
        <f t="shared" si="50"/>
        <v>11724.93</v>
      </c>
      <c r="V99">
        <f t="shared" si="51"/>
        <v>13184.975</v>
      </c>
      <c r="W99">
        <f t="shared" si="52"/>
        <v>1861.1000000000001</v>
      </c>
      <c r="Y99">
        <f t="shared" si="53"/>
        <v>98614.077412398066</v>
      </c>
      <c r="Z99">
        <f t="shared" si="54"/>
        <v>101671.1138121824</v>
      </c>
      <c r="AA99">
        <f t="shared" si="55"/>
        <v>4378.7126092461494</v>
      </c>
      <c r="AB99">
        <f t="shared" si="61"/>
        <v>5024.97</v>
      </c>
      <c r="AC99">
        <f t="shared" si="63"/>
        <v>1.0309999999999999</v>
      </c>
      <c r="AD99">
        <f t="shared" si="56"/>
        <v>59302.03977851689</v>
      </c>
      <c r="AE99">
        <f t="shared" si="57"/>
        <v>59148</v>
      </c>
      <c r="AF99">
        <f t="shared" si="58"/>
        <v>-2.6043108561048518E-3</v>
      </c>
      <c r="AI99">
        <f t="shared" si="64"/>
        <v>11697.740210468979</v>
      </c>
      <c r="AJ99">
        <f t="shared" si="59"/>
        <v>6586.1930298270372</v>
      </c>
      <c r="AM99">
        <f t="shared" si="60"/>
        <v>7014.4067000000005</v>
      </c>
    </row>
    <row r="100" spans="1:39" x14ac:dyDescent="0.2">
      <c r="A100" t="s">
        <v>169</v>
      </c>
      <c r="B100" t="s">
        <v>175</v>
      </c>
      <c r="C100" t="s">
        <v>92</v>
      </c>
      <c r="D100">
        <v>28224.1</v>
      </c>
      <c r="E100">
        <v>974897.12100000004</v>
      </c>
      <c r="F100">
        <v>58515</v>
      </c>
      <c r="G100">
        <v>18611</v>
      </c>
      <c r="H100">
        <v>12551.733</v>
      </c>
      <c r="I100">
        <v>0.98599999999999999</v>
      </c>
      <c r="J100">
        <v>2.5000000000000001E-2</v>
      </c>
      <c r="K100">
        <v>39.146000000000001</v>
      </c>
      <c r="L100">
        <v>30</v>
      </c>
      <c r="M100" s="4">
        <f t="shared" si="47"/>
        <v>58671.104904508917</v>
      </c>
      <c r="N100">
        <v>383</v>
      </c>
      <c r="O100">
        <v>0.46800000000000003</v>
      </c>
      <c r="Q100">
        <f t="shared" si="48"/>
        <v>603695.25866806391</v>
      </c>
      <c r="R100">
        <f t="shared" si="62"/>
        <v>595243.52504671097</v>
      </c>
      <c r="S100">
        <f t="shared" si="49"/>
        <v>28558.958224168502</v>
      </c>
      <c r="T100">
        <f t="shared" si="50"/>
        <v>11724.93</v>
      </c>
      <c r="V100">
        <f t="shared" si="51"/>
        <v>12551.733</v>
      </c>
      <c r="W100">
        <f t="shared" si="52"/>
        <v>1861.1000000000001</v>
      </c>
      <c r="Y100">
        <f t="shared" si="53"/>
        <v>98614.077412398066</v>
      </c>
      <c r="Z100">
        <f t="shared" si="54"/>
        <v>101671.1138121824</v>
      </c>
      <c r="AA100">
        <f t="shared" si="55"/>
        <v>4378.7126092461494</v>
      </c>
      <c r="AB100">
        <f t="shared" si="61"/>
        <v>5024.97</v>
      </c>
      <c r="AC100">
        <f t="shared" si="63"/>
        <v>1.0309999999999999</v>
      </c>
      <c r="AD100">
        <f t="shared" si="56"/>
        <v>58668.797778516891</v>
      </c>
      <c r="AE100">
        <f t="shared" si="57"/>
        <v>58515</v>
      </c>
      <c r="AF100">
        <f t="shared" si="58"/>
        <v>-2.6283479196255902E-3</v>
      </c>
      <c r="AI100">
        <f t="shared" si="64"/>
        <v>11697.740210468979</v>
      </c>
      <c r="AJ100">
        <f t="shared" si="59"/>
        <v>6586.1930298270372</v>
      </c>
      <c r="AM100">
        <f t="shared" si="60"/>
        <v>6677.5219560000005</v>
      </c>
    </row>
    <row r="101" spans="1:39" x14ac:dyDescent="0.2">
      <c r="A101" t="s">
        <v>176</v>
      </c>
      <c r="B101" t="s">
        <v>177</v>
      </c>
      <c r="C101" t="s">
        <v>92</v>
      </c>
      <c r="D101">
        <v>1764.2</v>
      </c>
      <c r="E101">
        <v>974897.12100000004</v>
      </c>
      <c r="F101">
        <v>56588</v>
      </c>
      <c r="G101">
        <v>18611</v>
      </c>
      <c r="H101">
        <v>7225.84</v>
      </c>
      <c r="I101">
        <v>1.0589999999999999</v>
      </c>
      <c r="J101">
        <v>2.5000000000000001E-2</v>
      </c>
      <c r="K101">
        <v>36.314</v>
      </c>
      <c r="L101">
        <v>30</v>
      </c>
      <c r="M101" s="4">
        <f t="shared" si="47"/>
        <v>56759.729297033409</v>
      </c>
      <c r="N101">
        <v>403</v>
      </c>
      <c r="O101">
        <v>0.46800000000000003</v>
      </c>
      <c r="Q101">
        <f t="shared" si="48"/>
        <v>603695.25866806391</v>
      </c>
      <c r="R101">
        <f t="shared" si="62"/>
        <v>639313.27892947965</v>
      </c>
      <c r="S101">
        <f t="shared" si="49"/>
        <v>30673.36385334122</v>
      </c>
      <c r="T101">
        <f t="shared" si="50"/>
        <v>11724.93</v>
      </c>
      <c r="V101">
        <f t="shared" si="51"/>
        <v>7225.84</v>
      </c>
      <c r="W101">
        <f t="shared" si="52"/>
        <v>1861.1000000000001</v>
      </c>
      <c r="Y101">
        <f t="shared" si="53"/>
        <v>98614.077412398066</v>
      </c>
      <c r="Z101">
        <f t="shared" si="54"/>
        <v>102755.86866371879</v>
      </c>
      <c r="AA101">
        <f t="shared" si="55"/>
        <v>4425.4302025552743</v>
      </c>
      <c r="AB101">
        <f t="shared" si="61"/>
        <v>5024.97</v>
      </c>
      <c r="AC101">
        <f>$G$161</f>
        <v>1.042</v>
      </c>
      <c r="AD101">
        <f t="shared" si="56"/>
        <v>56448.954679887625</v>
      </c>
      <c r="AE101">
        <f t="shared" si="57"/>
        <v>56588</v>
      </c>
      <c r="AF101">
        <f t="shared" si="58"/>
        <v>2.4571520483560932E-3</v>
      </c>
      <c r="AI101">
        <f>$I$179</f>
        <v>11822.546362084073</v>
      </c>
      <c r="AJ101">
        <f t="shared" si="59"/>
        <v>6586.1930298270372</v>
      </c>
      <c r="AM101">
        <f t="shared" si="60"/>
        <v>3844.1468800000002</v>
      </c>
    </row>
    <row r="102" spans="1:39" x14ac:dyDescent="0.2">
      <c r="A102" t="s">
        <v>176</v>
      </c>
      <c r="B102" t="s">
        <v>178</v>
      </c>
      <c r="C102" t="s">
        <v>92</v>
      </c>
      <c r="D102">
        <v>5604.7</v>
      </c>
      <c r="E102">
        <v>974897.12100000004</v>
      </c>
      <c r="F102">
        <v>63852</v>
      </c>
      <c r="G102">
        <v>18611</v>
      </c>
      <c r="H102">
        <v>14489.906000000001</v>
      </c>
      <c r="I102">
        <v>1.0589999999999999</v>
      </c>
      <c r="J102">
        <v>2.5000000000000001E-2</v>
      </c>
      <c r="K102">
        <v>38.828000000000003</v>
      </c>
      <c r="L102">
        <v>30</v>
      </c>
      <c r="M102" s="4">
        <f t="shared" si="47"/>
        <v>64023.795297033408</v>
      </c>
      <c r="N102">
        <v>404</v>
      </c>
      <c r="O102">
        <v>0.46800000000000003</v>
      </c>
      <c r="Q102">
        <f t="shared" si="48"/>
        <v>603695.25866806391</v>
      </c>
      <c r="R102">
        <f t="shared" si="62"/>
        <v>639313.27892947965</v>
      </c>
      <c r="S102">
        <f t="shared" si="49"/>
        <v>30673.36385334122</v>
      </c>
      <c r="T102">
        <f t="shared" si="50"/>
        <v>11724.93</v>
      </c>
      <c r="V102">
        <f t="shared" si="51"/>
        <v>14489.906000000001</v>
      </c>
      <c r="W102">
        <f t="shared" si="52"/>
        <v>1861.1000000000001</v>
      </c>
      <c r="Y102">
        <f t="shared" si="53"/>
        <v>98614.077412398066</v>
      </c>
      <c r="Z102">
        <f t="shared" si="54"/>
        <v>102755.86866371879</v>
      </c>
      <c r="AA102">
        <f t="shared" si="55"/>
        <v>4425.4302025552743</v>
      </c>
      <c r="AB102">
        <f t="shared" si="61"/>
        <v>5024.97</v>
      </c>
      <c r="AC102">
        <f>$G$161</f>
        <v>1.042</v>
      </c>
      <c r="AD102">
        <f t="shared" si="56"/>
        <v>63713.020679887632</v>
      </c>
      <c r="AE102">
        <f t="shared" si="57"/>
        <v>63852</v>
      </c>
      <c r="AF102">
        <f t="shared" si="58"/>
        <v>2.1765852301003641E-3</v>
      </c>
      <c r="AI102">
        <f>$I$179</f>
        <v>11822.546362084073</v>
      </c>
      <c r="AJ102">
        <f t="shared" si="59"/>
        <v>6586.1930298270372</v>
      </c>
      <c r="AM102">
        <f t="shared" si="60"/>
        <v>7708.629992000001</v>
      </c>
    </row>
    <row r="103" spans="1:39" x14ac:dyDescent="0.2">
      <c r="F103" s="4"/>
      <c r="M103" s="4"/>
    </row>
    <row r="104" spans="1:39" x14ac:dyDescent="0.2">
      <c r="F104" s="4"/>
      <c r="M104" s="4"/>
    </row>
    <row r="105" spans="1:39" x14ac:dyDescent="0.2">
      <c r="F105" s="4"/>
      <c r="M105" s="4"/>
    </row>
    <row r="106" spans="1:39" x14ac:dyDescent="0.2">
      <c r="F106" s="4"/>
      <c r="M106" s="4"/>
    </row>
    <row r="107" spans="1:39" x14ac:dyDescent="0.2">
      <c r="F107" s="4"/>
      <c r="M107" s="4"/>
    </row>
    <row r="108" spans="1:39" x14ac:dyDescent="0.2">
      <c r="F108" s="4"/>
      <c r="M108" s="4"/>
    </row>
    <row r="109" spans="1:39" x14ac:dyDescent="0.2">
      <c r="F109" s="4"/>
      <c r="M109" s="4"/>
    </row>
    <row r="110" spans="1:39" x14ac:dyDescent="0.2">
      <c r="F110" s="4"/>
      <c r="M110" s="4"/>
    </row>
    <row r="111" spans="1:39" x14ac:dyDescent="0.2">
      <c r="F111" s="4"/>
      <c r="M111" s="4"/>
    </row>
    <row r="112" spans="1:39" x14ac:dyDescent="0.2">
      <c r="F112" s="4"/>
      <c r="M112" s="4"/>
    </row>
    <row r="113" spans="1:13" x14ac:dyDescent="0.2">
      <c r="F113" s="4"/>
      <c r="M113" s="4"/>
    </row>
    <row r="114" spans="1:13" x14ac:dyDescent="0.2">
      <c r="F114" s="4"/>
      <c r="M114" s="4"/>
    </row>
    <row r="115" spans="1:13" x14ac:dyDescent="0.2">
      <c r="F115" s="4"/>
      <c r="M115" s="4"/>
    </row>
    <row r="116" spans="1:13" x14ac:dyDescent="0.2">
      <c r="F116" s="4"/>
      <c r="M116" s="4"/>
    </row>
    <row r="117" spans="1:13" x14ac:dyDescent="0.2">
      <c r="F117" s="4"/>
      <c r="M117" s="4"/>
    </row>
    <row r="118" spans="1:13" x14ac:dyDescent="0.2">
      <c r="F118" s="4"/>
      <c r="M118" s="4"/>
    </row>
    <row r="119" spans="1:13" x14ac:dyDescent="0.2">
      <c r="F119" s="4"/>
      <c r="M119" s="4"/>
    </row>
    <row r="120" spans="1:13" x14ac:dyDescent="0.2">
      <c r="F120" s="4"/>
      <c r="M120" s="4"/>
    </row>
    <row r="121" spans="1:13" x14ac:dyDescent="0.2">
      <c r="F121" s="4"/>
      <c r="M121" s="4"/>
    </row>
    <row r="122" spans="1:13" x14ac:dyDescent="0.2">
      <c r="F122" s="4"/>
      <c r="M122" s="4"/>
    </row>
    <row r="123" spans="1:13" x14ac:dyDescent="0.2">
      <c r="F123" s="4"/>
      <c r="M123" s="4"/>
    </row>
    <row r="124" spans="1:13" x14ac:dyDescent="0.2">
      <c r="F124" s="4"/>
      <c r="M124" s="4"/>
    </row>
    <row r="125" spans="1:13" x14ac:dyDescent="0.2">
      <c r="F125" s="4"/>
      <c r="M125" s="4"/>
    </row>
    <row r="126" spans="1:13" x14ac:dyDescent="0.2">
      <c r="F126" s="4"/>
      <c r="M126" s="4"/>
    </row>
    <row r="128" spans="1:13" x14ac:dyDescent="0.2">
      <c r="A128" s="4" t="s">
        <v>179</v>
      </c>
    </row>
    <row r="129" spans="1:16" x14ac:dyDescent="0.2">
      <c r="A129" t="s">
        <v>64</v>
      </c>
      <c r="B129" t="s">
        <v>180</v>
      </c>
      <c r="C129" t="s">
        <v>66</v>
      </c>
      <c r="D129" t="s">
        <v>68</v>
      </c>
      <c r="E129" t="s">
        <v>69</v>
      </c>
      <c r="F129" t="s">
        <v>70</v>
      </c>
      <c r="G129" t="s">
        <v>181</v>
      </c>
      <c r="H129" t="s">
        <v>182</v>
      </c>
      <c r="I129" t="s">
        <v>183</v>
      </c>
      <c r="J129" t="s">
        <v>184</v>
      </c>
      <c r="K129" t="s">
        <v>185</v>
      </c>
      <c r="L129" t="s">
        <v>72</v>
      </c>
      <c r="M129" t="s">
        <v>73</v>
      </c>
      <c r="O129" t="s">
        <v>75</v>
      </c>
      <c r="P129" t="s">
        <v>77</v>
      </c>
    </row>
    <row r="130" spans="1:16" x14ac:dyDescent="0.2">
      <c r="A130" t="s">
        <v>90</v>
      </c>
      <c r="B130" t="s">
        <v>186</v>
      </c>
      <c r="C130" t="s">
        <v>187</v>
      </c>
      <c r="D130">
        <v>178049.73300000001</v>
      </c>
      <c r="E130">
        <v>14982</v>
      </c>
      <c r="F130">
        <v>4451</v>
      </c>
      <c r="G130">
        <v>231160.90900000001</v>
      </c>
      <c r="H130">
        <v>19451</v>
      </c>
      <c r="I130">
        <v>5779</v>
      </c>
      <c r="J130">
        <v>0.3</v>
      </c>
      <c r="K130">
        <v>0.15</v>
      </c>
      <c r="L130">
        <v>1.0409999999999999</v>
      </c>
      <c r="M130">
        <v>2.5000000000000001E-2</v>
      </c>
      <c r="O130">
        <v>15</v>
      </c>
      <c r="P130">
        <v>181</v>
      </c>
    </row>
    <row r="131" spans="1:16" x14ac:dyDescent="0.2">
      <c r="A131" t="s">
        <v>98</v>
      </c>
      <c r="B131" t="s">
        <v>188</v>
      </c>
      <c r="C131" t="s">
        <v>187</v>
      </c>
      <c r="D131">
        <v>178049.73300000001</v>
      </c>
      <c r="E131">
        <v>14992</v>
      </c>
      <c r="F131">
        <v>4451</v>
      </c>
      <c r="G131">
        <v>231160.90900000001</v>
      </c>
      <c r="H131">
        <v>19465</v>
      </c>
      <c r="I131">
        <v>5779</v>
      </c>
      <c r="J131">
        <v>0.3</v>
      </c>
      <c r="K131">
        <v>0.15</v>
      </c>
      <c r="L131">
        <v>1.042</v>
      </c>
      <c r="M131">
        <v>2.5000000000000001E-2</v>
      </c>
      <c r="O131">
        <v>15</v>
      </c>
      <c r="P131">
        <v>202</v>
      </c>
    </row>
    <row r="132" spans="1:16" x14ac:dyDescent="0.2">
      <c r="A132" t="s">
        <v>105</v>
      </c>
      <c r="B132" t="s">
        <v>189</v>
      </c>
      <c r="C132" t="s">
        <v>187</v>
      </c>
      <c r="D132">
        <v>178049.73300000001</v>
      </c>
      <c r="E132">
        <v>14566</v>
      </c>
      <c r="F132">
        <v>4451</v>
      </c>
      <c r="G132">
        <v>231160.90900000001</v>
      </c>
      <c r="H132">
        <v>18911</v>
      </c>
      <c r="I132">
        <v>5779</v>
      </c>
      <c r="J132">
        <v>0.3</v>
      </c>
      <c r="K132">
        <v>0.15</v>
      </c>
      <c r="L132">
        <v>1.012</v>
      </c>
      <c r="M132">
        <v>2.5000000000000001E-2</v>
      </c>
      <c r="O132">
        <v>15</v>
      </c>
      <c r="P132">
        <v>220</v>
      </c>
    </row>
    <row r="133" spans="1:16" x14ac:dyDescent="0.2">
      <c r="A133" t="s">
        <v>114</v>
      </c>
      <c r="B133" t="s">
        <v>190</v>
      </c>
      <c r="C133" t="s">
        <v>187</v>
      </c>
      <c r="D133">
        <v>178049.73300000001</v>
      </c>
      <c r="E133">
        <v>14264</v>
      </c>
      <c r="F133">
        <v>4451</v>
      </c>
      <c r="G133">
        <v>231160.90900000001</v>
      </c>
      <c r="H133">
        <v>18519</v>
      </c>
      <c r="I133">
        <v>5779</v>
      </c>
      <c r="J133">
        <v>0.3</v>
      </c>
      <c r="K133">
        <v>0.15</v>
      </c>
      <c r="L133">
        <v>0.99099999999999999</v>
      </c>
      <c r="M133">
        <v>2.5000000000000001E-2</v>
      </c>
      <c r="O133">
        <v>15</v>
      </c>
      <c r="P133">
        <v>245</v>
      </c>
    </row>
    <row r="134" spans="1:16" x14ac:dyDescent="0.2">
      <c r="A134" t="s">
        <v>121</v>
      </c>
      <c r="B134" t="s">
        <v>191</v>
      </c>
      <c r="C134" t="s">
        <v>187</v>
      </c>
      <c r="D134">
        <v>178049.73300000001</v>
      </c>
      <c r="E134">
        <v>14836</v>
      </c>
      <c r="F134">
        <v>4451</v>
      </c>
      <c r="G134">
        <v>231160.90900000001</v>
      </c>
      <c r="H134">
        <v>19262</v>
      </c>
      <c r="I134">
        <v>5779</v>
      </c>
      <c r="J134">
        <v>0.3</v>
      </c>
      <c r="K134">
        <v>0.15</v>
      </c>
      <c r="L134">
        <v>1.0309999999999999</v>
      </c>
      <c r="M134">
        <v>2.5000000000000001E-2</v>
      </c>
      <c r="O134">
        <v>15</v>
      </c>
      <c r="P134">
        <v>277</v>
      </c>
    </row>
    <row r="135" spans="1:16" x14ac:dyDescent="0.2">
      <c r="A135" t="s">
        <v>126</v>
      </c>
      <c r="B135" t="s">
        <v>192</v>
      </c>
      <c r="C135" t="s">
        <v>187</v>
      </c>
      <c r="D135">
        <v>178049.73300000001</v>
      </c>
      <c r="E135">
        <v>14992</v>
      </c>
      <c r="F135">
        <v>4451</v>
      </c>
      <c r="G135">
        <v>231160.90900000001</v>
      </c>
      <c r="H135">
        <v>19465</v>
      </c>
      <c r="I135">
        <v>5779</v>
      </c>
      <c r="J135">
        <v>0.3</v>
      </c>
      <c r="K135">
        <v>0.15</v>
      </c>
      <c r="L135">
        <v>1.042</v>
      </c>
      <c r="M135">
        <v>2.5000000000000001E-2</v>
      </c>
      <c r="O135">
        <v>15</v>
      </c>
      <c r="P135">
        <v>293</v>
      </c>
    </row>
    <row r="136" spans="1:16" x14ac:dyDescent="0.2">
      <c r="A136" t="s">
        <v>131</v>
      </c>
      <c r="B136" t="s">
        <v>193</v>
      </c>
      <c r="C136" t="s">
        <v>187</v>
      </c>
      <c r="D136">
        <v>178049.73300000001</v>
      </c>
      <c r="E136">
        <v>14732</v>
      </c>
      <c r="F136">
        <v>4451</v>
      </c>
      <c r="G136">
        <v>231160.90900000001</v>
      </c>
      <c r="H136">
        <v>19127</v>
      </c>
      <c r="I136">
        <v>5779</v>
      </c>
      <c r="J136">
        <v>0.3</v>
      </c>
      <c r="K136">
        <v>0.15</v>
      </c>
      <c r="L136">
        <v>1.024</v>
      </c>
      <c r="M136">
        <v>2.5000000000000001E-2</v>
      </c>
      <c r="O136">
        <v>15</v>
      </c>
      <c r="P136">
        <v>306</v>
      </c>
    </row>
    <row r="137" spans="1:16" x14ac:dyDescent="0.2">
      <c r="A137" t="s">
        <v>136</v>
      </c>
      <c r="B137" t="s">
        <v>194</v>
      </c>
      <c r="C137" t="s">
        <v>187</v>
      </c>
      <c r="D137">
        <v>178049.73300000001</v>
      </c>
      <c r="E137">
        <v>14566</v>
      </c>
      <c r="F137">
        <v>4451</v>
      </c>
      <c r="G137">
        <v>231160.90900000001</v>
      </c>
      <c r="H137">
        <v>18911</v>
      </c>
      <c r="I137">
        <v>5779</v>
      </c>
      <c r="J137">
        <v>0.3</v>
      </c>
      <c r="K137">
        <v>0.15</v>
      </c>
      <c r="L137">
        <v>1.012</v>
      </c>
      <c r="M137">
        <v>2.5000000000000001E-2</v>
      </c>
      <c r="O137">
        <v>15</v>
      </c>
      <c r="P137">
        <v>337</v>
      </c>
    </row>
    <row r="138" spans="1:16" x14ac:dyDescent="0.2">
      <c r="A138" t="s">
        <v>145</v>
      </c>
      <c r="B138" t="s">
        <v>195</v>
      </c>
      <c r="C138" t="s">
        <v>187</v>
      </c>
      <c r="D138">
        <v>178049.73300000001</v>
      </c>
      <c r="E138">
        <v>14836</v>
      </c>
      <c r="F138">
        <v>4451</v>
      </c>
      <c r="G138">
        <v>231160.90900000001</v>
      </c>
      <c r="H138">
        <v>19262</v>
      </c>
      <c r="I138">
        <v>5779</v>
      </c>
      <c r="J138">
        <v>0.3</v>
      </c>
      <c r="K138">
        <v>0.15</v>
      </c>
      <c r="L138">
        <v>1.0309999999999999</v>
      </c>
      <c r="M138">
        <v>2.5000000000000001E-2</v>
      </c>
      <c r="O138">
        <v>15</v>
      </c>
      <c r="P138">
        <v>375</v>
      </c>
    </row>
    <row r="139" spans="1:16" x14ac:dyDescent="0.2">
      <c r="A139" t="s">
        <v>152</v>
      </c>
      <c r="B139" t="s">
        <v>196</v>
      </c>
      <c r="C139" t="s">
        <v>187</v>
      </c>
      <c r="D139">
        <v>178049.73300000001</v>
      </c>
      <c r="E139">
        <v>14732</v>
      </c>
      <c r="F139">
        <v>4451</v>
      </c>
      <c r="G139">
        <v>231160.90900000001</v>
      </c>
      <c r="H139">
        <v>19127</v>
      </c>
      <c r="I139">
        <v>5779</v>
      </c>
      <c r="J139">
        <v>0.3</v>
      </c>
      <c r="K139">
        <v>0.15</v>
      </c>
      <c r="L139">
        <v>1.024</v>
      </c>
      <c r="M139">
        <v>2.5000000000000001E-2</v>
      </c>
      <c r="O139">
        <v>15</v>
      </c>
      <c r="P139">
        <v>393</v>
      </c>
    </row>
    <row r="140" spans="1:16" x14ac:dyDescent="0.2">
      <c r="A140" t="s">
        <v>157</v>
      </c>
      <c r="B140" t="s">
        <v>197</v>
      </c>
      <c r="C140" t="s">
        <v>187</v>
      </c>
      <c r="D140">
        <v>178049.73300000001</v>
      </c>
      <c r="E140">
        <v>14566</v>
      </c>
      <c r="F140">
        <v>4451</v>
      </c>
      <c r="G140">
        <v>231160.90900000001</v>
      </c>
      <c r="H140">
        <v>18911</v>
      </c>
      <c r="I140">
        <v>5779</v>
      </c>
      <c r="J140">
        <v>0.3</v>
      </c>
      <c r="K140">
        <v>0.15</v>
      </c>
      <c r="L140">
        <v>1.012</v>
      </c>
      <c r="M140">
        <v>2.5000000000000001E-2</v>
      </c>
      <c r="O140">
        <v>15</v>
      </c>
      <c r="P140">
        <v>409</v>
      </c>
    </row>
    <row r="141" spans="1:16" x14ac:dyDescent="0.2">
      <c r="A141" t="s">
        <v>164</v>
      </c>
      <c r="B141" t="s">
        <v>198</v>
      </c>
      <c r="C141" t="s">
        <v>187</v>
      </c>
      <c r="D141">
        <v>178049.73300000001</v>
      </c>
      <c r="E141">
        <v>14836</v>
      </c>
      <c r="F141">
        <v>4451</v>
      </c>
      <c r="G141">
        <v>231160.90900000001</v>
      </c>
      <c r="H141">
        <v>19262</v>
      </c>
      <c r="I141">
        <v>5779</v>
      </c>
      <c r="J141">
        <v>0.3</v>
      </c>
      <c r="K141">
        <v>0.15</v>
      </c>
      <c r="L141">
        <v>1.0309999999999999</v>
      </c>
      <c r="M141">
        <v>2.5000000000000001E-2</v>
      </c>
      <c r="O141">
        <v>15</v>
      </c>
      <c r="P141">
        <v>427</v>
      </c>
    </row>
    <row r="142" spans="1:16" x14ac:dyDescent="0.2">
      <c r="A142" t="s">
        <v>169</v>
      </c>
      <c r="B142" t="s">
        <v>199</v>
      </c>
      <c r="C142" t="s">
        <v>187</v>
      </c>
      <c r="D142">
        <v>178049.73300000001</v>
      </c>
      <c r="E142">
        <v>14836</v>
      </c>
      <c r="F142">
        <v>4451</v>
      </c>
      <c r="G142">
        <v>231160.90900000001</v>
      </c>
      <c r="H142">
        <v>19262</v>
      </c>
      <c r="I142">
        <v>5779</v>
      </c>
      <c r="J142">
        <v>0.3</v>
      </c>
      <c r="K142">
        <v>0.15</v>
      </c>
      <c r="L142">
        <v>1.0309999999999999</v>
      </c>
      <c r="M142">
        <v>2.5000000000000001E-2</v>
      </c>
      <c r="O142">
        <v>15</v>
      </c>
      <c r="P142">
        <v>442</v>
      </c>
    </row>
    <row r="143" spans="1:16" x14ac:dyDescent="0.2">
      <c r="A143" t="s">
        <v>176</v>
      </c>
      <c r="B143" t="s">
        <v>200</v>
      </c>
      <c r="C143" t="s">
        <v>187</v>
      </c>
      <c r="D143">
        <v>178049.73300000001</v>
      </c>
      <c r="E143">
        <v>14992</v>
      </c>
      <c r="F143">
        <v>4451</v>
      </c>
      <c r="G143">
        <v>231160.90900000001</v>
      </c>
      <c r="H143">
        <v>19465</v>
      </c>
      <c r="I143">
        <v>5779</v>
      </c>
      <c r="J143">
        <v>0.3</v>
      </c>
      <c r="K143">
        <v>0.15</v>
      </c>
      <c r="L143">
        <v>1.042</v>
      </c>
      <c r="M143">
        <v>2.5000000000000001E-2</v>
      </c>
      <c r="O143">
        <v>15</v>
      </c>
      <c r="P143">
        <v>476</v>
      </c>
    </row>
    <row r="146" spans="1:21" x14ac:dyDescent="0.2">
      <c r="A146" s="4" t="s">
        <v>201</v>
      </c>
    </row>
    <row r="147" spans="1:21" x14ac:dyDescent="0.2">
      <c r="A147" s="4" t="s">
        <v>64</v>
      </c>
      <c r="B147" s="4" t="s">
        <v>180</v>
      </c>
      <c r="C147" s="4" t="s">
        <v>66</v>
      </c>
      <c r="D147" s="4" t="s">
        <v>73</v>
      </c>
      <c r="E147" s="4" t="s">
        <v>75</v>
      </c>
      <c r="F147" s="4" t="s">
        <v>202</v>
      </c>
      <c r="G147" s="4" t="s">
        <v>203</v>
      </c>
      <c r="H147" s="4" t="s">
        <v>204</v>
      </c>
      <c r="I147" s="13" t="s">
        <v>205</v>
      </c>
      <c r="J147" s="13" t="s">
        <v>206</v>
      </c>
      <c r="L147" s="13" t="s">
        <v>207</v>
      </c>
      <c r="M147" s="13" t="s">
        <v>208</v>
      </c>
      <c r="N147" s="4"/>
      <c r="O147" s="4" t="s">
        <v>209</v>
      </c>
      <c r="P147" s="4" t="s">
        <v>210</v>
      </c>
      <c r="Q147" s="13" t="s">
        <v>211</v>
      </c>
      <c r="R147" s="13" t="s">
        <v>212</v>
      </c>
      <c r="S147" t="s">
        <v>77</v>
      </c>
    </row>
    <row r="148" spans="1:21" x14ac:dyDescent="0.2">
      <c r="A148" t="s">
        <v>90</v>
      </c>
      <c r="B148" t="s">
        <v>186</v>
      </c>
      <c r="C148" t="s">
        <v>187</v>
      </c>
      <c r="D148">
        <v>2.5000000000000001E-2</v>
      </c>
      <c r="E148">
        <v>15</v>
      </c>
      <c r="F148">
        <f>$W$17</f>
        <v>263447.72119308147</v>
      </c>
      <c r="G148">
        <v>1.0409999999999999</v>
      </c>
      <c r="H148">
        <f>G148*F148</f>
        <v>274249.07776199776</v>
      </c>
      <c r="I148">
        <f>H148*(EXP(D148*E148)*(EXP(D148)-1))/(EXP(D148*E148)-1)*(1-0.468)</f>
        <v>11811.200348300881</v>
      </c>
      <c r="J148">
        <f>F148*0.025</f>
        <v>6586.1930298270372</v>
      </c>
      <c r="L148">
        <f>'[1]standalone bat grid connection'!E2</f>
        <v>4250.5244634534611</v>
      </c>
      <c r="M148">
        <f>$W$29</f>
        <v>1861.1000000000001</v>
      </c>
      <c r="O148">
        <f>$W$18</f>
        <v>98614.077412398066</v>
      </c>
      <c r="P148">
        <f>O148*G148</f>
        <v>102657.25458630639</v>
      </c>
      <c r="Q148">
        <f>P148*(EXP(D148*15)*(EXP(D148)-1))/(EXP(D148*15)-1)*(1-0.468)</f>
        <v>4421.1831486180799</v>
      </c>
      <c r="R148">
        <f>$AB$29</f>
        <v>5024.97</v>
      </c>
      <c r="S148">
        <v>181</v>
      </c>
      <c r="U148">
        <f>L148*(1-0.351)</f>
        <v>2758.5903767812965</v>
      </c>
    </row>
    <row r="149" spans="1:21" x14ac:dyDescent="0.2">
      <c r="A149" t="s">
        <v>98</v>
      </c>
      <c r="B149" t="s">
        <v>188</v>
      </c>
      <c r="C149" t="s">
        <v>187</v>
      </c>
      <c r="D149">
        <v>2.5000000000000001E-2</v>
      </c>
      <c r="E149">
        <v>15</v>
      </c>
      <c r="F149">
        <f t="shared" ref="F149:F161" si="65">$W$17</f>
        <v>263447.72119308147</v>
      </c>
      <c r="G149">
        <v>1.042</v>
      </c>
      <c r="H149">
        <f t="shared" ref="H149:H161" si="66">G149*F149</f>
        <v>274512.5254831909</v>
      </c>
      <c r="I149">
        <f t="shared" ref="I149:I161" si="67">H149*(EXP(D149*E149)*(EXP(D149)-1))/(EXP(D149*E149)-1)*(1-0.468)</f>
        <v>11822.546362084073</v>
      </c>
      <c r="J149">
        <f t="shared" ref="J149:J161" si="68">F149*0.025</f>
        <v>6586.1930298270372</v>
      </c>
      <c r="L149">
        <f>'[1]standalone bat grid connection'!E3</f>
        <v>4250.5244634534611</v>
      </c>
      <c r="M149">
        <f t="shared" ref="M149:M161" si="69">$W$29</f>
        <v>1861.1000000000001</v>
      </c>
      <c r="O149">
        <f t="shared" ref="O149:O161" si="70">$W$18</f>
        <v>98614.077412398066</v>
      </c>
      <c r="P149">
        <f t="shared" ref="P149:P161" si="71">O149*G149</f>
        <v>102755.86866371879</v>
      </c>
      <c r="Q149">
        <f t="shared" ref="Q149:Q161" si="72">P149*(EXP(D149*15)*(EXP(D149)-1))/(EXP(D149*15)-1)*(1-0.468)</f>
        <v>4425.4302025552743</v>
      </c>
      <c r="R149">
        <f t="shared" ref="R149:R161" si="73">$AB$29</f>
        <v>5024.97</v>
      </c>
      <c r="S149">
        <v>202</v>
      </c>
      <c r="U149">
        <f t="shared" ref="U149:U161" si="74">L149*(1-0.351)</f>
        <v>2758.5903767812965</v>
      </c>
    </row>
    <row r="150" spans="1:21" x14ac:dyDescent="0.2">
      <c r="A150" t="s">
        <v>105</v>
      </c>
      <c r="B150" t="s">
        <v>189</v>
      </c>
      <c r="C150" t="s">
        <v>187</v>
      </c>
      <c r="D150">
        <v>2.5000000000000001E-2</v>
      </c>
      <c r="E150">
        <v>15</v>
      </c>
      <c r="F150">
        <f t="shared" si="65"/>
        <v>263447.72119308147</v>
      </c>
      <c r="G150">
        <v>1.012</v>
      </c>
      <c r="H150">
        <f t="shared" si="66"/>
        <v>266609.09384739847</v>
      </c>
      <c r="I150">
        <f t="shared" si="67"/>
        <v>11482.16594858837</v>
      </c>
      <c r="J150">
        <f t="shared" si="68"/>
        <v>6586.1930298270372</v>
      </c>
      <c r="L150">
        <f>'[1]standalone bat grid connection'!E4</f>
        <v>1889.1219837570934</v>
      </c>
      <c r="M150">
        <f t="shared" si="69"/>
        <v>1861.1000000000001</v>
      </c>
      <c r="O150">
        <f t="shared" si="70"/>
        <v>98614.077412398066</v>
      </c>
      <c r="P150">
        <f t="shared" si="71"/>
        <v>99797.446341346847</v>
      </c>
      <c r="Q150">
        <f t="shared" si="72"/>
        <v>4298.0185844394791</v>
      </c>
      <c r="R150">
        <f t="shared" si="73"/>
        <v>5024.97</v>
      </c>
      <c r="S150">
        <v>220</v>
      </c>
      <c r="U150">
        <f t="shared" si="74"/>
        <v>1226.0401674583536</v>
      </c>
    </row>
    <row r="151" spans="1:21" x14ac:dyDescent="0.2">
      <c r="A151" t="s">
        <v>114</v>
      </c>
      <c r="B151" t="s">
        <v>190</v>
      </c>
      <c r="C151" t="s">
        <v>187</v>
      </c>
      <c r="D151">
        <v>2.5000000000000001E-2</v>
      </c>
      <c r="E151">
        <v>15</v>
      </c>
      <c r="F151">
        <f t="shared" si="65"/>
        <v>263447.72119308147</v>
      </c>
      <c r="G151">
        <v>0.99099999999999999</v>
      </c>
      <c r="H151">
        <f t="shared" si="66"/>
        <v>261076.69170234373</v>
      </c>
      <c r="I151">
        <f t="shared" si="67"/>
        <v>11243.899659141378</v>
      </c>
      <c r="J151">
        <f t="shared" si="68"/>
        <v>6586.1930298270372</v>
      </c>
      <c r="L151">
        <f>'[1]standalone bat grid connection'!E5</f>
        <v>1889.1219837570934</v>
      </c>
      <c r="M151">
        <f t="shared" si="69"/>
        <v>1861.1000000000001</v>
      </c>
      <c r="O151">
        <f t="shared" si="70"/>
        <v>98614.077412398066</v>
      </c>
      <c r="P151">
        <f t="shared" si="71"/>
        <v>97726.550715686477</v>
      </c>
      <c r="Q151">
        <f t="shared" si="72"/>
        <v>4208.830451758422</v>
      </c>
      <c r="R151">
        <f t="shared" si="73"/>
        <v>5024.97</v>
      </c>
      <c r="S151">
        <v>245</v>
      </c>
      <c r="U151">
        <f t="shared" si="74"/>
        <v>1226.0401674583536</v>
      </c>
    </row>
    <row r="152" spans="1:21" x14ac:dyDescent="0.2">
      <c r="A152" t="s">
        <v>121</v>
      </c>
      <c r="B152" t="s">
        <v>191</v>
      </c>
      <c r="C152" t="s">
        <v>187</v>
      </c>
      <c r="D152">
        <v>2.5000000000000001E-2</v>
      </c>
      <c r="E152">
        <v>15</v>
      </c>
      <c r="F152">
        <f t="shared" si="65"/>
        <v>263447.72119308147</v>
      </c>
      <c r="G152">
        <v>1.0309999999999999</v>
      </c>
      <c r="H152">
        <f t="shared" si="66"/>
        <v>271614.60055006697</v>
      </c>
      <c r="I152">
        <f t="shared" si="67"/>
        <v>11697.740210468979</v>
      </c>
      <c r="J152">
        <f t="shared" si="68"/>
        <v>6586.1930298270372</v>
      </c>
      <c r="L152">
        <f>'[1]standalone bat grid connection'!E6</f>
        <v>1889.1219837570934</v>
      </c>
      <c r="M152">
        <f t="shared" si="69"/>
        <v>1861.1000000000001</v>
      </c>
      <c r="O152">
        <f t="shared" si="70"/>
        <v>98614.077412398066</v>
      </c>
      <c r="P152">
        <f t="shared" si="71"/>
        <v>101671.1138121824</v>
      </c>
      <c r="Q152">
        <f t="shared" si="72"/>
        <v>4378.7126092461494</v>
      </c>
      <c r="R152">
        <f t="shared" si="73"/>
        <v>5024.97</v>
      </c>
      <c r="S152">
        <v>277</v>
      </c>
      <c r="U152">
        <f t="shared" si="74"/>
        <v>1226.0401674583536</v>
      </c>
    </row>
    <row r="153" spans="1:21" x14ac:dyDescent="0.2">
      <c r="A153" t="s">
        <v>126</v>
      </c>
      <c r="B153" t="s">
        <v>192</v>
      </c>
      <c r="C153" t="s">
        <v>187</v>
      </c>
      <c r="D153">
        <v>2.5000000000000001E-2</v>
      </c>
      <c r="E153">
        <v>15</v>
      </c>
      <c r="F153">
        <f t="shared" si="65"/>
        <v>263447.72119308147</v>
      </c>
      <c r="G153">
        <v>1.042</v>
      </c>
      <c r="H153">
        <f t="shared" si="66"/>
        <v>274512.5254831909</v>
      </c>
      <c r="I153">
        <f t="shared" si="67"/>
        <v>11822.546362084073</v>
      </c>
      <c r="J153">
        <f t="shared" si="68"/>
        <v>6586.1930298270372</v>
      </c>
      <c r="L153">
        <f>'[1]standalone bat grid connection'!E7</f>
        <v>4250.5244634534611</v>
      </c>
      <c r="M153">
        <f t="shared" si="69"/>
        <v>1861.1000000000001</v>
      </c>
      <c r="O153">
        <f t="shared" si="70"/>
        <v>98614.077412398066</v>
      </c>
      <c r="P153">
        <f t="shared" si="71"/>
        <v>102755.86866371879</v>
      </c>
      <c r="Q153">
        <f t="shared" si="72"/>
        <v>4425.4302025552743</v>
      </c>
      <c r="R153">
        <f t="shared" si="73"/>
        <v>5024.97</v>
      </c>
      <c r="S153">
        <v>293</v>
      </c>
      <c r="U153">
        <f t="shared" si="74"/>
        <v>2758.5903767812965</v>
      </c>
    </row>
    <row r="154" spans="1:21" x14ac:dyDescent="0.2">
      <c r="A154" t="s">
        <v>131</v>
      </c>
      <c r="B154" t="s">
        <v>193</v>
      </c>
      <c r="C154" t="s">
        <v>187</v>
      </c>
      <c r="D154">
        <v>2.5000000000000001E-2</v>
      </c>
      <c r="E154">
        <v>15</v>
      </c>
      <c r="F154">
        <f t="shared" si="65"/>
        <v>263447.72119308147</v>
      </c>
      <c r="G154">
        <v>1.024</v>
      </c>
      <c r="H154">
        <f t="shared" si="66"/>
        <v>269770.46650171542</v>
      </c>
      <c r="I154">
        <f t="shared" si="67"/>
        <v>11618.31811398665</v>
      </c>
      <c r="J154">
        <f t="shared" si="68"/>
        <v>6586.1930298270372</v>
      </c>
      <c r="L154">
        <f>'[1]standalone bat grid connection'!E8</f>
        <v>1889.1219837570934</v>
      </c>
      <c r="M154">
        <f t="shared" si="69"/>
        <v>1861.1000000000001</v>
      </c>
      <c r="O154">
        <f t="shared" si="70"/>
        <v>98614.077412398066</v>
      </c>
      <c r="P154">
        <f t="shared" si="71"/>
        <v>100980.81527029563</v>
      </c>
      <c r="Q154">
        <f t="shared" si="72"/>
        <v>4348.9832316857974</v>
      </c>
      <c r="R154">
        <f t="shared" si="73"/>
        <v>5024.97</v>
      </c>
      <c r="S154">
        <v>306</v>
      </c>
      <c r="U154">
        <f t="shared" si="74"/>
        <v>1226.0401674583536</v>
      </c>
    </row>
    <row r="155" spans="1:21" x14ac:dyDescent="0.2">
      <c r="A155" t="s">
        <v>136</v>
      </c>
      <c r="B155" t="s">
        <v>194</v>
      </c>
      <c r="C155" t="s">
        <v>187</v>
      </c>
      <c r="D155">
        <v>2.5000000000000001E-2</v>
      </c>
      <c r="E155">
        <v>15</v>
      </c>
      <c r="F155">
        <f t="shared" si="65"/>
        <v>263447.72119308147</v>
      </c>
      <c r="G155">
        <v>1.012</v>
      </c>
      <c r="H155">
        <f t="shared" si="66"/>
        <v>266609.09384739847</v>
      </c>
      <c r="I155">
        <f t="shared" si="67"/>
        <v>11482.16594858837</v>
      </c>
      <c r="J155">
        <f t="shared" si="68"/>
        <v>6586.1930298270372</v>
      </c>
      <c r="L155">
        <f>'[1]standalone bat grid connection'!E9</f>
        <v>1889.1219837570934</v>
      </c>
      <c r="M155">
        <f t="shared" si="69"/>
        <v>1861.1000000000001</v>
      </c>
      <c r="O155">
        <f t="shared" si="70"/>
        <v>98614.077412398066</v>
      </c>
      <c r="P155">
        <f t="shared" si="71"/>
        <v>99797.446341346847</v>
      </c>
      <c r="Q155">
        <f t="shared" si="72"/>
        <v>4298.0185844394791</v>
      </c>
      <c r="R155">
        <f t="shared" si="73"/>
        <v>5024.97</v>
      </c>
      <c r="S155">
        <v>337</v>
      </c>
      <c r="U155">
        <f t="shared" si="74"/>
        <v>1226.0401674583536</v>
      </c>
    </row>
    <row r="156" spans="1:21" x14ac:dyDescent="0.2">
      <c r="A156" t="s">
        <v>145</v>
      </c>
      <c r="B156" t="s">
        <v>195</v>
      </c>
      <c r="C156" t="s">
        <v>187</v>
      </c>
      <c r="D156">
        <v>2.5000000000000001E-2</v>
      </c>
      <c r="E156">
        <v>15</v>
      </c>
      <c r="F156">
        <f t="shared" si="65"/>
        <v>263447.72119308147</v>
      </c>
      <c r="G156">
        <v>1.0309999999999999</v>
      </c>
      <c r="H156">
        <f t="shared" si="66"/>
        <v>271614.60055006697</v>
      </c>
      <c r="I156">
        <f t="shared" si="67"/>
        <v>11697.740210468979</v>
      </c>
      <c r="J156">
        <f t="shared" si="68"/>
        <v>6586.1930298270372</v>
      </c>
      <c r="L156">
        <f>'[1]standalone bat grid connection'!E10</f>
        <v>1889.1219837570934</v>
      </c>
      <c r="M156">
        <f t="shared" si="69"/>
        <v>1861.1000000000001</v>
      </c>
      <c r="O156">
        <f t="shared" si="70"/>
        <v>98614.077412398066</v>
      </c>
      <c r="P156">
        <f t="shared" si="71"/>
        <v>101671.1138121824</v>
      </c>
      <c r="Q156">
        <f t="shared" si="72"/>
        <v>4378.7126092461494</v>
      </c>
      <c r="R156">
        <f t="shared" si="73"/>
        <v>5024.97</v>
      </c>
      <c r="S156">
        <v>375</v>
      </c>
      <c r="U156">
        <f t="shared" si="74"/>
        <v>1226.0401674583536</v>
      </c>
    </row>
    <row r="157" spans="1:21" x14ac:dyDescent="0.2">
      <c r="A157" t="s">
        <v>152</v>
      </c>
      <c r="B157" t="s">
        <v>196</v>
      </c>
      <c r="C157" t="s">
        <v>187</v>
      </c>
      <c r="D157">
        <v>2.5000000000000001E-2</v>
      </c>
      <c r="E157">
        <v>15</v>
      </c>
      <c r="F157">
        <f t="shared" si="65"/>
        <v>263447.72119308147</v>
      </c>
      <c r="G157">
        <v>1.024</v>
      </c>
      <c r="H157">
        <f t="shared" si="66"/>
        <v>269770.46650171542</v>
      </c>
      <c r="I157">
        <f t="shared" si="67"/>
        <v>11618.31811398665</v>
      </c>
      <c r="J157">
        <f t="shared" si="68"/>
        <v>6586.1930298270372</v>
      </c>
      <c r="L157">
        <f>'[1]standalone bat grid connection'!E11</f>
        <v>1889.1219837570934</v>
      </c>
      <c r="M157">
        <f t="shared" si="69"/>
        <v>1861.1000000000001</v>
      </c>
      <c r="O157">
        <f t="shared" si="70"/>
        <v>98614.077412398066</v>
      </c>
      <c r="P157">
        <f t="shared" si="71"/>
        <v>100980.81527029563</v>
      </c>
      <c r="Q157">
        <f t="shared" si="72"/>
        <v>4348.9832316857974</v>
      </c>
      <c r="R157">
        <f t="shared" si="73"/>
        <v>5024.97</v>
      </c>
      <c r="S157">
        <v>393</v>
      </c>
      <c r="U157">
        <f t="shared" si="74"/>
        <v>1226.0401674583536</v>
      </c>
    </row>
    <row r="158" spans="1:21" x14ac:dyDescent="0.2">
      <c r="A158" t="s">
        <v>157</v>
      </c>
      <c r="B158" t="s">
        <v>197</v>
      </c>
      <c r="C158" t="s">
        <v>187</v>
      </c>
      <c r="D158">
        <v>2.5000000000000001E-2</v>
      </c>
      <c r="E158">
        <v>15</v>
      </c>
      <c r="F158">
        <f t="shared" si="65"/>
        <v>263447.72119308147</v>
      </c>
      <c r="G158">
        <v>1.012</v>
      </c>
      <c r="H158">
        <f t="shared" si="66"/>
        <v>266609.09384739847</v>
      </c>
      <c r="I158">
        <f t="shared" si="67"/>
        <v>11482.16594858837</v>
      </c>
      <c r="J158">
        <f t="shared" si="68"/>
        <v>6586.1930298270372</v>
      </c>
      <c r="L158">
        <f>'[1]standalone bat grid connection'!E12</f>
        <v>1889.1219837570934</v>
      </c>
      <c r="M158">
        <f t="shared" si="69"/>
        <v>1861.1000000000001</v>
      </c>
      <c r="O158">
        <f t="shared" si="70"/>
        <v>98614.077412398066</v>
      </c>
      <c r="P158">
        <f t="shared" si="71"/>
        <v>99797.446341346847</v>
      </c>
      <c r="Q158">
        <f t="shared" si="72"/>
        <v>4298.0185844394791</v>
      </c>
      <c r="R158">
        <f t="shared" si="73"/>
        <v>5024.97</v>
      </c>
      <c r="S158">
        <v>409</v>
      </c>
      <c r="U158">
        <f t="shared" si="74"/>
        <v>1226.0401674583536</v>
      </c>
    </row>
    <row r="159" spans="1:21" x14ac:dyDescent="0.2">
      <c r="A159" t="s">
        <v>164</v>
      </c>
      <c r="B159" t="s">
        <v>198</v>
      </c>
      <c r="C159" t="s">
        <v>187</v>
      </c>
      <c r="D159">
        <v>2.5000000000000001E-2</v>
      </c>
      <c r="E159">
        <v>15</v>
      </c>
      <c r="F159">
        <f t="shared" si="65"/>
        <v>263447.72119308147</v>
      </c>
      <c r="G159">
        <v>1.0309999999999999</v>
      </c>
      <c r="H159">
        <f t="shared" si="66"/>
        <v>271614.60055006697</v>
      </c>
      <c r="I159">
        <f t="shared" si="67"/>
        <v>11697.740210468979</v>
      </c>
      <c r="J159">
        <f t="shared" si="68"/>
        <v>6586.1930298270372</v>
      </c>
      <c r="L159">
        <f>'[1]standalone bat grid connection'!E13</f>
        <v>1889.1219837570934</v>
      </c>
      <c r="M159">
        <f t="shared" si="69"/>
        <v>1861.1000000000001</v>
      </c>
      <c r="O159">
        <f t="shared" si="70"/>
        <v>98614.077412398066</v>
      </c>
      <c r="P159">
        <f t="shared" si="71"/>
        <v>101671.1138121824</v>
      </c>
      <c r="Q159">
        <f t="shared" si="72"/>
        <v>4378.7126092461494</v>
      </c>
      <c r="R159">
        <f t="shared" si="73"/>
        <v>5024.97</v>
      </c>
      <c r="S159">
        <v>427</v>
      </c>
      <c r="U159">
        <f t="shared" si="74"/>
        <v>1226.0401674583536</v>
      </c>
    </row>
    <row r="160" spans="1:21" x14ac:dyDescent="0.2">
      <c r="A160" t="s">
        <v>169</v>
      </c>
      <c r="B160" t="s">
        <v>199</v>
      </c>
      <c r="C160" t="s">
        <v>187</v>
      </c>
      <c r="D160">
        <v>2.5000000000000001E-2</v>
      </c>
      <c r="E160">
        <v>15</v>
      </c>
      <c r="F160">
        <f t="shared" si="65"/>
        <v>263447.72119308147</v>
      </c>
      <c r="G160">
        <v>1.0309999999999999</v>
      </c>
      <c r="H160">
        <f t="shared" si="66"/>
        <v>271614.60055006697</v>
      </c>
      <c r="I160">
        <f t="shared" si="67"/>
        <v>11697.740210468979</v>
      </c>
      <c r="J160">
        <f t="shared" si="68"/>
        <v>6586.1930298270372</v>
      </c>
      <c r="L160">
        <f>'[1]standalone bat grid connection'!E14</f>
        <v>1889.1219837570934</v>
      </c>
      <c r="M160">
        <f t="shared" si="69"/>
        <v>1861.1000000000001</v>
      </c>
      <c r="O160">
        <f t="shared" si="70"/>
        <v>98614.077412398066</v>
      </c>
      <c r="P160">
        <f t="shared" si="71"/>
        <v>101671.1138121824</v>
      </c>
      <c r="Q160">
        <f t="shared" si="72"/>
        <v>4378.7126092461494</v>
      </c>
      <c r="R160">
        <f t="shared" si="73"/>
        <v>5024.97</v>
      </c>
      <c r="S160">
        <v>442</v>
      </c>
      <c r="U160">
        <f t="shared" si="74"/>
        <v>1226.0401674583536</v>
      </c>
    </row>
    <row r="161" spans="1:21" x14ac:dyDescent="0.2">
      <c r="A161" t="s">
        <v>176</v>
      </c>
      <c r="B161" t="s">
        <v>200</v>
      </c>
      <c r="C161" t="s">
        <v>187</v>
      </c>
      <c r="D161">
        <v>2.5000000000000001E-2</v>
      </c>
      <c r="E161">
        <v>15</v>
      </c>
      <c r="F161">
        <f t="shared" si="65"/>
        <v>263447.72119308147</v>
      </c>
      <c r="G161">
        <v>1.042</v>
      </c>
      <c r="H161">
        <f t="shared" si="66"/>
        <v>274512.5254831909</v>
      </c>
      <c r="I161">
        <f t="shared" si="67"/>
        <v>11822.546362084073</v>
      </c>
      <c r="J161">
        <f t="shared" si="68"/>
        <v>6586.1930298270372</v>
      </c>
      <c r="L161">
        <f>'[1]standalone bat grid connection'!E15</f>
        <v>4250.5244634534611</v>
      </c>
      <c r="M161">
        <f t="shared" si="69"/>
        <v>1861.1000000000001</v>
      </c>
      <c r="O161">
        <f t="shared" si="70"/>
        <v>98614.077412398066</v>
      </c>
      <c r="P161">
        <f t="shared" si="71"/>
        <v>102755.86866371879</v>
      </c>
      <c r="Q161">
        <f t="shared" si="72"/>
        <v>4425.4302025552743</v>
      </c>
      <c r="R161">
        <f t="shared" si="73"/>
        <v>5024.97</v>
      </c>
      <c r="S161">
        <v>476</v>
      </c>
      <c r="U161">
        <f t="shared" si="74"/>
        <v>2758.5903767812965</v>
      </c>
    </row>
    <row r="164" spans="1:21" x14ac:dyDescent="0.2">
      <c r="A164" s="4" t="s">
        <v>213</v>
      </c>
    </row>
    <row r="165" spans="1:21" x14ac:dyDescent="0.2">
      <c r="A165" s="4" t="s">
        <v>64</v>
      </c>
      <c r="B165" s="4" t="s">
        <v>180</v>
      </c>
      <c r="C165" s="4" t="s">
        <v>66</v>
      </c>
      <c r="D165" s="4" t="s">
        <v>73</v>
      </c>
      <c r="E165" s="4" t="s">
        <v>75</v>
      </c>
      <c r="F165" s="4" t="s">
        <v>202</v>
      </c>
      <c r="G165" s="4" t="s">
        <v>203</v>
      </c>
      <c r="H165" s="4" t="s">
        <v>204</v>
      </c>
      <c r="I165" s="13" t="s">
        <v>214</v>
      </c>
      <c r="J165" s="13" t="s">
        <v>206</v>
      </c>
      <c r="K165" t="s">
        <v>77</v>
      </c>
    </row>
    <row r="166" spans="1:21" x14ac:dyDescent="0.2">
      <c r="A166" t="s">
        <v>90</v>
      </c>
      <c r="B166" t="s">
        <v>186</v>
      </c>
      <c r="C166" t="s">
        <v>187</v>
      </c>
      <c r="D166">
        <v>2.5000000000000001E-2</v>
      </c>
      <c r="E166">
        <v>15</v>
      </c>
      <c r="F166">
        <f>$W$17</f>
        <v>263447.72119308147</v>
      </c>
      <c r="G166">
        <v>1.0409999999999999</v>
      </c>
      <c r="H166">
        <f>G166*F166</f>
        <v>274249.07776199776</v>
      </c>
      <c r="I166">
        <f>H166*(1-0.468)*(EXP(D166*E166)*(EXP(D166)-1))/(EXP(D166*E166)-1)</f>
        <v>11811.200348300879</v>
      </c>
      <c r="J166">
        <f>F166*0.025</f>
        <v>6586.1930298270372</v>
      </c>
      <c r="K166">
        <v>181</v>
      </c>
    </row>
    <row r="167" spans="1:21" x14ac:dyDescent="0.2">
      <c r="A167" t="s">
        <v>98</v>
      </c>
      <c r="B167" t="s">
        <v>188</v>
      </c>
      <c r="C167" t="s">
        <v>187</v>
      </c>
      <c r="D167">
        <v>2.5000000000000001E-2</v>
      </c>
      <c r="E167">
        <v>15</v>
      </c>
      <c r="F167">
        <f t="shared" ref="F167:F179" si="75">$W$17</f>
        <v>263447.72119308147</v>
      </c>
      <c r="G167">
        <v>1.042</v>
      </c>
      <c r="H167">
        <f t="shared" ref="H167:H179" si="76">G167*F167</f>
        <v>274512.5254831909</v>
      </c>
      <c r="I167">
        <f t="shared" ref="I167:I179" si="77">H167*(1-0.468)*(EXP(D167*E167)*(EXP(D167)-1))/(EXP(D167*E167)-1)</f>
        <v>11822.546362084073</v>
      </c>
      <c r="J167">
        <f t="shared" ref="J167:J179" si="78">F167*0.025</f>
        <v>6586.1930298270372</v>
      </c>
      <c r="K167">
        <v>202</v>
      </c>
    </row>
    <row r="168" spans="1:21" x14ac:dyDescent="0.2">
      <c r="A168" t="s">
        <v>105</v>
      </c>
      <c r="B168" t="s">
        <v>189</v>
      </c>
      <c r="C168" t="s">
        <v>187</v>
      </c>
      <c r="D168">
        <v>2.5000000000000001E-2</v>
      </c>
      <c r="E168">
        <v>15</v>
      </c>
      <c r="F168">
        <f t="shared" si="75"/>
        <v>263447.72119308147</v>
      </c>
      <c r="G168">
        <v>1.012</v>
      </c>
      <c r="H168">
        <f t="shared" si="76"/>
        <v>266609.09384739847</v>
      </c>
      <c r="I168">
        <f t="shared" si="77"/>
        <v>11482.165948588372</v>
      </c>
      <c r="J168">
        <f t="shared" si="78"/>
        <v>6586.1930298270372</v>
      </c>
      <c r="K168">
        <v>220</v>
      </c>
    </row>
    <row r="169" spans="1:21" x14ac:dyDescent="0.2">
      <c r="A169" t="s">
        <v>114</v>
      </c>
      <c r="B169" t="s">
        <v>190</v>
      </c>
      <c r="C169" t="s">
        <v>187</v>
      </c>
      <c r="D169">
        <v>2.5000000000000001E-2</v>
      </c>
      <c r="E169">
        <v>15</v>
      </c>
      <c r="F169">
        <f t="shared" si="75"/>
        <v>263447.72119308147</v>
      </c>
      <c r="G169">
        <v>0.99099999999999999</v>
      </c>
      <c r="H169">
        <f t="shared" si="76"/>
        <v>261076.69170234373</v>
      </c>
      <c r="I169">
        <f t="shared" si="77"/>
        <v>11243.899659141378</v>
      </c>
      <c r="J169">
        <f t="shared" si="78"/>
        <v>6586.1930298270372</v>
      </c>
      <c r="K169">
        <v>245</v>
      </c>
    </row>
    <row r="170" spans="1:21" x14ac:dyDescent="0.2">
      <c r="A170" t="s">
        <v>121</v>
      </c>
      <c r="B170" t="s">
        <v>191</v>
      </c>
      <c r="C170" t="s">
        <v>187</v>
      </c>
      <c r="D170">
        <v>2.5000000000000001E-2</v>
      </c>
      <c r="E170">
        <v>15</v>
      </c>
      <c r="F170">
        <f t="shared" si="75"/>
        <v>263447.72119308147</v>
      </c>
      <c r="G170">
        <v>1.0309999999999999</v>
      </c>
      <c r="H170">
        <f t="shared" si="76"/>
        <v>271614.60055006697</v>
      </c>
      <c r="I170">
        <f t="shared" si="77"/>
        <v>11697.740210468979</v>
      </c>
      <c r="J170">
        <f t="shared" si="78"/>
        <v>6586.1930298270372</v>
      </c>
      <c r="K170">
        <v>277</v>
      </c>
    </row>
    <row r="171" spans="1:21" x14ac:dyDescent="0.2">
      <c r="A171" t="s">
        <v>126</v>
      </c>
      <c r="B171" t="s">
        <v>192</v>
      </c>
      <c r="C171" t="s">
        <v>187</v>
      </c>
      <c r="D171">
        <v>2.5000000000000001E-2</v>
      </c>
      <c r="E171">
        <v>15</v>
      </c>
      <c r="F171">
        <f t="shared" si="75"/>
        <v>263447.72119308147</v>
      </c>
      <c r="G171">
        <v>1.042</v>
      </c>
      <c r="H171">
        <f t="shared" si="76"/>
        <v>274512.5254831909</v>
      </c>
      <c r="I171">
        <f t="shared" si="77"/>
        <v>11822.546362084073</v>
      </c>
      <c r="J171">
        <f t="shared" si="78"/>
        <v>6586.1930298270372</v>
      </c>
      <c r="K171">
        <v>293</v>
      </c>
    </row>
    <row r="172" spans="1:21" x14ac:dyDescent="0.2">
      <c r="A172" t="s">
        <v>131</v>
      </c>
      <c r="B172" t="s">
        <v>193</v>
      </c>
      <c r="C172" t="s">
        <v>187</v>
      </c>
      <c r="D172">
        <v>2.5000000000000001E-2</v>
      </c>
      <c r="E172">
        <v>15</v>
      </c>
      <c r="F172">
        <f t="shared" si="75"/>
        <v>263447.72119308147</v>
      </c>
      <c r="G172">
        <v>1.024</v>
      </c>
      <c r="H172">
        <f t="shared" si="76"/>
        <v>269770.46650171542</v>
      </c>
      <c r="I172">
        <f t="shared" si="77"/>
        <v>11618.318113986648</v>
      </c>
      <c r="J172">
        <f t="shared" si="78"/>
        <v>6586.1930298270372</v>
      </c>
      <c r="K172">
        <v>306</v>
      </c>
    </row>
    <row r="173" spans="1:21" x14ac:dyDescent="0.2">
      <c r="A173" t="s">
        <v>136</v>
      </c>
      <c r="B173" t="s">
        <v>194</v>
      </c>
      <c r="C173" t="s">
        <v>187</v>
      </c>
      <c r="D173">
        <v>2.5000000000000001E-2</v>
      </c>
      <c r="E173">
        <v>15</v>
      </c>
      <c r="F173">
        <f t="shared" si="75"/>
        <v>263447.72119308147</v>
      </c>
      <c r="G173">
        <v>1.012</v>
      </c>
      <c r="H173">
        <f t="shared" si="76"/>
        <v>266609.09384739847</v>
      </c>
      <c r="I173">
        <f t="shared" si="77"/>
        <v>11482.165948588372</v>
      </c>
      <c r="J173">
        <f t="shared" si="78"/>
        <v>6586.1930298270372</v>
      </c>
      <c r="K173">
        <v>337</v>
      </c>
    </row>
    <row r="174" spans="1:21" x14ac:dyDescent="0.2">
      <c r="A174" t="s">
        <v>145</v>
      </c>
      <c r="B174" t="s">
        <v>195</v>
      </c>
      <c r="C174" t="s">
        <v>187</v>
      </c>
      <c r="D174">
        <v>2.5000000000000001E-2</v>
      </c>
      <c r="E174">
        <v>15</v>
      </c>
      <c r="F174">
        <f t="shared" si="75"/>
        <v>263447.72119308147</v>
      </c>
      <c r="G174">
        <v>1.0309999999999999</v>
      </c>
      <c r="H174">
        <f t="shared" si="76"/>
        <v>271614.60055006697</v>
      </c>
      <c r="I174">
        <f t="shared" si="77"/>
        <v>11697.740210468979</v>
      </c>
      <c r="J174">
        <f t="shared" si="78"/>
        <v>6586.1930298270372</v>
      </c>
      <c r="K174">
        <v>375</v>
      </c>
    </row>
    <row r="175" spans="1:21" x14ac:dyDescent="0.2">
      <c r="A175" t="s">
        <v>152</v>
      </c>
      <c r="B175" t="s">
        <v>196</v>
      </c>
      <c r="C175" t="s">
        <v>187</v>
      </c>
      <c r="D175">
        <v>2.5000000000000001E-2</v>
      </c>
      <c r="E175">
        <v>15</v>
      </c>
      <c r="F175">
        <f t="shared" si="75"/>
        <v>263447.72119308147</v>
      </c>
      <c r="G175">
        <v>1.024</v>
      </c>
      <c r="H175">
        <f t="shared" si="76"/>
        <v>269770.46650171542</v>
      </c>
      <c r="I175">
        <f t="shared" si="77"/>
        <v>11618.318113986648</v>
      </c>
      <c r="J175">
        <f t="shared" si="78"/>
        <v>6586.1930298270372</v>
      </c>
      <c r="K175">
        <v>393</v>
      </c>
    </row>
    <row r="176" spans="1:21" x14ac:dyDescent="0.2">
      <c r="A176" t="s">
        <v>157</v>
      </c>
      <c r="B176" t="s">
        <v>197</v>
      </c>
      <c r="C176" t="s">
        <v>187</v>
      </c>
      <c r="D176">
        <v>2.5000000000000001E-2</v>
      </c>
      <c r="E176">
        <v>15</v>
      </c>
      <c r="F176">
        <f t="shared" si="75"/>
        <v>263447.72119308147</v>
      </c>
      <c r="G176">
        <v>1.012</v>
      </c>
      <c r="H176">
        <f t="shared" si="76"/>
        <v>266609.09384739847</v>
      </c>
      <c r="I176">
        <f t="shared" si="77"/>
        <v>11482.165948588372</v>
      </c>
      <c r="J176">
        <f t="shared" si="78"/>
        <v>6586.1930298270372</v>
      </c>
      <c r="K176">
        <v>409</v>
      </c>
    </row>
    <row r="177" spans="1:19" x14ac:dyDescent="0.2">
      <c r="A177" t="s">
        <v>164</v>
      </c>
      <c r="B177" t="s">
        <v>198</v>
      </c>
      <c r="C177" t="s">
        <v>187</v>
      </c>
      <c r="D177">
        <v>2.5000000000000001E-2</v>
      </c>
      <c r="E177">
        <v>15</v>
      </c>
      <c r="F177">
        <f t="shared" si="75"/>
        <v>263447.72119308147</v>
      </c>
      <c r="G177">
        <v>1.0309999999999999</v>
      </c>
      <c r="H177">
        <f t="shared" si="76"/>
        <v>271614.60055006697</v>
      </c>
      <c r="I177">
        <f t="shared" si="77"/>
        <v>11697.740210468979</v>
      </c>
      <c r="J177">
        <f t="shared" si="78"/>
        <v>6586.1930298270372</v>
      </c>
      <c r="K177">
        <v>427</v>
      </c>
    </row>
    <row r="178" spans="1:19" x14ac:dyDescent="0.2">
      <c r="A178" t="s">
        <v>169</v>
      </c>
      <c r="B178" t="s">
        <v>199</v>
      </c>
      <c r="C178" t="s">
        <v>187</v>
      </c>
      <c r="D178">
        <v>2.5000000000000001E-2</v>
      </c>
      <c r="E178">
        <v>15</v>
      </c>
      <c r="F178">
        <f t="shared" si="75"/>
        <v>263447.72119308147</v>
      </c>
      <c r="G178">
        <v>1.0309999999999999</v>
      </c>
      <c r="H178">
        <f t="shared" si="76"/>
        <v>271614.60055006697</v>
      </c>
      <c r="I178">
        <f t="shared" si="77"/>
        <v>11697.740210468979</v>
      </c>
      <c r="J178">
        <f t="shared" si="78"/>
        <v>6586.1930298270372</v>
      </c>
      <c r="K178">
        <v>442</v>
      </c>
    </row>
    <row r="179" spans="1:19" x14ac:dyDescent="0.2">
      <c r="A179" t="s">
        <v>176</v>
      </c>
      <c r="B179" t="s">
        <v>200</v>
      </c>
      <c r="C179" t="s">
        <v>187</v>
      </c>
      <c r="D179">
        <v>2.5000000000000001E-2</v>
      </c>
      <c r="E179">
        <v>15</v>
      </c>
      <c r="F179">
        <f t="shared" si="75"/>
        <v>263447.72119308147</v>
      </c>
      <c r="G179">
        <v>1.042</v>
      </c>
      <c r="H179">
        <f t="shared" si="76"/>
        <v>274512.5254831909</v>
      </c>
      <c r="I179">
        <f t="shared" si="77"/>
        <v>11822.546362084073</v>
      </c>
      <c r="J179">
        <f t="shared" si="78"/>
        <v>6586.1930298270372</v>
      </c>
      <c r="K179">
        <v>476</v>
      </c>
    </row>
    <row r="182" spans="1:19" x14ac:dyDescent="0.2">
      <c r="A182" s="4" t="s">
        <v>215</v>
      </c>
    </row>
    <row r="183" spans="1:19" x14ac:dyDescent="0.2">
      <c r="A183" s="4" t="s">
        <v>64</v>
      </c>
      <c r="B183" s="4" t="s">
        <v>180</v>
      </c>
      <c r="C183" s="4" t="s">
        <v>66</v>
      </c>
      <c r="D183" s="4" t="s">
        <v>73</v>
      </c>
      <c r="E183" s="4" t="s">
        <v>75</v>
      </c>
      <c r="F183" s="4" t="s">
        <v>202</v>
      </c>
      <c r="G183" s="4" t="s">
        <v>203</v>
      </c>
      <c r="H183" s="4" t="s">
        <v>204</v>
      </c>
      <c r="I183" s="13" t="s">
        <v>205</v>
      </c>
      <c r="J183" s="13" t="s">
        <v>206</v>
      </c>
      <c r="L183" s="13" t="s">
        <v>207</v>
      </c>
      <c r="M183" s="13" t="s">
        <v>208</v>
      </c>
      <c r="N183" s="4"/>
      <c r="O183" s="4" t="s">
        <v>209</v>
      </c>
      <c r="P183" s="4" t="s">
        <v>210</v>
      </c>
      <c r="Q183" s="13" t="s">
        <v>211</v>
      </c>
      <c r="R183" s="13" t="s">
        <v>212</v>
      </c>
      <c r="S183" t="s">
        <v>77</v>
      </c>
    </row>
    <row r="184" spans="1:19" x14ac:dyDescent="0.2">
      <c r="A184" t="s">
        <v>90</v>
      </c>
      <c r="B184" t="s">
        <v>186</v>
      </c>
      <c r="C184" t="s">
        <v>187</v>
      </c>
      <c r="D184">
        <v>2.5000000000000001E-2</v>
      </c>
      <c r="E184">
        <v>15</v>
      </c>
      <c r="F184">
        <f>$W$17</f>
        <v>263447.72119308147</v>
      </c>
      <c r="G184">
        <v>1.0409999999999999</v>
      </c>
      <c r="H184">
        <f>G184*F184</f>
        <v>274249.07776199776</v>
      </c>
      <c r="I184">
        <f>H184*(EXP(D184*E184)*(EXP(D184)-1))/(EXP(D184*E184)-1)</f>
        <v>22201.5044140994</v>
      </c>
      <c r="J184">
        <f>F184*0.025</f>
        <v>6586.1930298270372</v>
      </c>
      <c r="L184">
        <f>'[1]standalone bat grid connection'!E2</f>
        <v>4250.5244634534611</v>
      </c>
      <c r="M184">
        <f>$W$29</f>
        <v>1861.1000000000001</v>
      </c>
      <c r="O184">
        <f>$W$18</f>
        <v>98614.077412398066</v>
      </c>
      <c r="P184">
        <f>O184*G184</f>
        <v>102657.25458630639</v>
      </c>
      <c r="Q184">
        <f>P184*(EXP(D184*15)*(EXP(D184)-1))/(EXP(D184*15)-1)</f>
        <v>8310.4946402595488</v>
      </c>
      <c r="R184">
        <f>$AB$29</f>
        <v>5024.97</v>
      </c>
      <c r="S184">
        <v>181</v>
      </c>
    </row>
    <row r="185" spans="1:19" x14ac:dyDescent="0.2">
      <c r="A185" t="s">
        <v>98</v>
      </c>
      <c r="B185" t="s">
        <v>188</v>
      </c>
      <c r="C185" t="s">
        <v>187</v>
      </c>
      <c r="D185">
        <v>2.5000000000000001E-2</v>
      </c>
      <c r="E185">
        <v>15</v>
      </c>
      <c r="F185">
        <f t="shared" ref="F185:F197" si="79">$W$17</f>
        <v>263447.72119308147</v>
      </c>
      <c r="G185">
        <v>1.042</v>
      </c>
      <c r="H185">
        <f t="shared" ref="H185:H197" si="80">G185*F185</f>
        <v>274512.5254831909</v>
      </c>
      <c r="I185">
        <f t="shared" ref="I185:I197" si="81">H185*(EXP(D185*E185)*(EXP(D185)-1))/(EXP(D185*E185)-1)</f>
        <v>22222.831507676827</v>
      </c>
      <c r="J185">
        <f t="shared" ref="J185:J197" si="82">F185*0.025</f>
        <v>6586.1930298270372</v>
      </c>
      <c r="L185">
        <f>'[1]standalone bat grid connection'!E3</f>
        <v>4250.5244634534611</v>
      </c>
      <c r="M185">
        <f t="shared" ref="M185:M197" si="83">$W$29</f>
        <v>1861.1000000000001</v>
      </c>
      <c r="O185">
        <f t="shared" ref="O185:O197" si="84">$W$18</f>
        <v>98614.077412398066</v>
      </c>
      <c r="P185">
        <f t="shared" ref="P185:P197" si="85">O185*G185</f>
        <v>102755.86866371879</v>
      </c>
      <c r="Q185">
        <f t="shared" ref="Q185:Q190" si="86">P185*(EXP(D185*15)*(EXP(D185)-1))/(EXP(D185*15)-1)</f>
        <v>8318.4778243520195</v>
      </c>
      <c r="R185">
        <f t="shared" ref="R185:R197" si="87">$AB$29</f>
        <v>5024.97</v>
      </c>
      <c r="S185">
        <v>202</v>
      </c>
    </row>
    <row r="186" spans="1:19" x14ac:dyDescent="0.2">
      <c r="A186" t="s">
        <v>105</v>
      </c>
      <c r="B186" t="s">
        <v>189</v>
      </c>
      <c r="C186" t="s">
        <v>187</v>
      </c>
      <c r="D186">
        <v>2.5000000000000001E-2</v>
      </c>
      <c r="E186">
        <v>15</v>
      </c>
      <c r="F186">
        <f t="shared" si="79"/>
        <v>263447.72119308147</v>
      </c>
      <c r="G186">
        <v>1.012</v>
      </c>
      <c r="H186">
        <f t="shared" si="80"/>
        <v>266609.09384739847</v>
      </c>
      <c r="I186">
        <f t="shared" si="81"/>
        <v>21583.018700354078</v>
      </c>
      <c r="J186">
        <f t="shared" si="82"/>
        <v>6586.1930298270372</v>
      </c>
      <c r="L186">
        <f>'[1]standalone bat grid connection'!E4</f>
        <v>1889.1219837570934</v>
      </c>
      <c r="M186">
        <f t="shared" si="83"/>
        <v>1861.1000000000001</v>
      </c>
      <c r="O186">
        <f t="shared" si="84"/>
        <v>98614.077412398066</v>
      </c>
      <c r="P186">
        <f t="shared" si="85"/>
        <v>99797.446341346847</v>
      </c>
      <c r="Q186">
        <f t="shared" si="86"/>
        <v>8078.9823015779684</v>
      </c>
      <c r="R186">
        <f t="shared" si="87"/>
        <v>5024.97</v>
      </c>
      <c r="S186">
        <v>220</v>
      </c>
    </row>
    <row r="187" spans="1:19" x14ac:dyDescent="0.2">
      <c r="A187" t="s">
        <v>114</v>
      </c>
      <c r="B187" t="s">
        <v>190</v>
      </c>
      <c r="C187" t="s">
        <v>187</v>
      </c>
      <c r="D187">
        <v>2.5000000000000001E-2</v>
      </c>
      <c r="E187">
        <v>15</v>
      </c>
      <c r="F187">
        <f t="shared" si="79"/>
        <v>263447.72119308147</v>
      </c>
      <c r="G187">
        <v>0.99099999999999999</v>
      </c>
      <c r="H187">
        <f t="shared" si="80"/>
        <v>261076.69170234373</v>
      </c>
      <c r="I187">
        <f t="shared" si="81"/>
        <v>21135.149735228151</v>
      </c>
      <c r="J187">
        <f t="shared" si="82"/>
        <v>6586.1930298270372</v>
      </c>
      <c r="L187">
        <f>'[1]standalone bat grid connection'!E5</f>
        <v>1889.1219837570934</v>
      </c>
      <c r="M187">
        <f t="shared" si="83"/>
        <v>1861.1000000000001</v>
      </c>
      <c r="O187">
        <f t="shared" si="84"/>
        <v>98614.077412398066</v>
      </c>
      <c r="P187">
        <f t="shared" si="85"/>
        <v>97726.550715686477</v>
      </c>
      <c r="Q187">
        <f t="shared" si="86"/>
        <v>7911.3354356361315</v>
      </c>
      <c r="R187">
        <f t="shared" si="87"/>
        <v>5024.97</v>
      </c>
      <c r="S187">
        <v>245</v>
      </c>
    </row>
    <row r="188" spans="1:19" x14ac:dyDescent="0.2">
      <c r="A188" t="s">
        <v>121</v>
      </c>
      <c r="B188" t="s">
        <v>191</v>
      </c>
      <c r="C188" t="s">
        <v>187</v>
      </c>
      <c r="D188">
        <v>2.5000000000000001E-2</v>
      </c>
      <c r="E188">
        <v>15</v>
      </c>
      <c r="F188">
        <f t="shared" si="79"/>
        <v>263447.72119308147</v>
      </c>
      <c r="G188">
        <v>1.0309999999999999</v>
      </c>
      <c r="H188">
        <f t="shared" si="80"/>
        <v>271614.60055006697</v>
      </c>
      <c r="I188">
        <f t="shared" si="81"/>
        <v>21988.233478325146</v>
      </c>
      <c r="J188">
        <f t="shared" si="82"/>
        <v>6586.1930298270372</v>
      </c>
      <c r="L188">
        <f>'[1]standalone bat grid connection'!E6</f>
        <v>1889.1219837570934</v>
      </c>
      <c r="M188">
        <f t="shared" si="83"/>
        <v>1861.1000000000001</v>
      </c>
      <c r="O188">
        <f t="shared" si="84"/>
        <v>98614.077412398066</v>
      </c>
      <c r="P188">
        <f t="shared" si="85"/>
        <v>101671.1138121824</v>
      </c>
      <c r="Q188">
        <f t="shared" si="86"/>
        <v>8230.6627993348666</v>
      </c>
      <c r="R188">
        <f t="shared" si="87"/>
        <v>5024.97</v>
      </c>
      <c r="S188">
        <v>277</v>
      </c>
    </row>
    <row r="189" spans="1:19" x14ac:dyDescent="0.2">
      <c r="A189" t="s">
        <v>126</v>
      </c>
      <c r="B189" t="s">
        <v>192</v>
      </c>
      <c r="C189" t="s">
        <v>187</v>
      </c>
      <c r="D189">
        <v>2.5000000000000001E-2</v>
      </c>
      <c r="E189">
        <v>15</v>
      </c>
      <c r="F189">
        <f t="shared" si="79"/>
        <v>263447.72119308147</v>
      </c>
      <c r="G189">
        <v>1.042</v>
      </c>
      <c r="H189">
        <f t="shared" si="80"/>
        <v>274512.5254831909</v>
      </c>
      <c r="I189">
        <f t="shared" si="81"/>
        <v>22222.831507676827</v>
      </c>
      <c r="J189">
        <f t="shared" si="82"/>
        <v>6586.1930298270372</v>
      </c>
      <c r="L189">
        <f>'[1]standalone bat grid connection'!E7</f>
        <v>4250.5244634534611</v>
      </c>
      <c r="M189">
        <f t="shared" si="83"/>
        <v>1861.1000000000001</v>
      </c>
      <c r="O189">
        <f t="shared" si="84"/>
        <v>98614.077412398066</v>
      </c>
      <c r="P189">
        <f t="shared" si="85"/>
        <v>102755.86866371879</v>
      </c>
      <c r="Q189">
        <f t="shared" si="86"/>
        <v>8318.4778243520195</v>
      </c>
      <c r="R189">
        <f t="shared" si="87"/>
        <v>5024.97</v>
      </c>
      <c r="S189">
        <v>293</v>
      </c>
    </row>
    <row r="190" spans="1:19" x14ac:dyDescent="0.2">
      <c r="A190" t="s">
        <v>131</v>
      </c>
      <c r="B190" t="s">
        <v>193</v>
      </c>
      <c r="C190" t="s">
        <v>187</v>
      </c>
      <c r="D190">
        <v>2.5000000000000001E-2</v>
      </c>
      <c r="E190">
        <v>15</v>
      </c>
      <c r="F190">
        <f t="shared" si="79"/>
        <v>263447.72119308147</v>
      </c>
      <c r="G190">
        <v>1.024</v>
      </c>
      <c r="H190">
        <f t="shared" si="80"/>
        <v>269770.46650171542</v>
      </c>
      <c r="I190">
        <f t="shared" si="81"/>
        <v>21838.943823283174</v>
      </c>
      <c r="J190">
        <f t="shared" si="82"/>
        <v>6586.1930298270372</v>
      </c>
      <c r="L190">
        <f>'[1]standalone bat grid connection'!E8</f>
        <v>1889.1219837570934</v>
      </c>
      <c r="M190">
        <f t="shared" si="83"/>
        <v>1861.1000000000001</v>
      </c>
      <c r="O190">
        <f t="shared" si="84"/>
        <v>98614.077412398066</v>
      </c>
      <c r="P190">
        <f t="shared" si="85"/>
        <v>100980.81527029563</v>
      </c>
      <c r="Q190">
        <f t="shared" si="86"/>
        <v>8174.7805106875885</v>
      </c>
      <c r="R190">
        <f t="shared" si="87"/>
        <v>5024.97</v>
      </c>
      <c r="S190">
        <v>306</v>
      </c>
    </row>
    <row r="191" spans="1:19" x14ac:dyDescent="0.2">
      <c r="A191" t="s">
        <v>136</v>
      </c>
      <c r="B191" t="s">
        <v>194</v>
      </c>
      <c r="C191" t="s">
        <v>187</v>
      </c>
      <c r="D191">
        <v>2.5000000000000001E-2</v>
      </c>
      <c r="E191">
        <v>15</v>
      </c>
      <c r="F191">
        <f t="shared" si="79"/>
        <v>263447.72119308147</v>
      </c>
      <c r="G191">
        <v>1.012</v>
      </c>
      <c r="H191">
        <f t="shared" si="80"/>
        <v>266609.09384739847</v>
      </c>
      <c r="I191">
        <f t="shared" si="81"/>
        <v>21583.018700354078</v>
      </c>
      <c r="J191">
        <f t="shared" si="82"/>
        <v>6586.1930298270372</v>
      </c>
      <c r="L191">
        <f>'[1]standalone bat grid connection'!E9</f>
        <v>1889.1219837570934</v>
      </c>
      <c r="M191">
        <f t="shared" si="83"/>
        <v>1861.1000000000001</v>
      </c>
      <c r="O191">
        <f t="shared" si="84"/>
        <v>98614.077412398066</v>
      </c>
      <c r="P191">
        <f t="shared" si="85"/>
        <v>99797.446341346847</v>
      </c>
      <c r="Q191">
        <f>P191*(EXP(D191*15)*(EXP(D191)-1))/(EXP(D191*15)-1)</f>
        <v>8078.9823015779684</v>
      </c>
      <c r="R191">
        <f t="shared" si="87"/>
        <v>5024.97</v>
      </c>
      <c r="S191">
        <v>337</v>
      </c>
    </row>
    <row r="192" spans="1:19" x14ac:dyDescent="0.2">
      <c r="A192" t="s">
        <v>145</v>
      </c>
      <c r="B192" t="s">
        <v>195</v>
      </c>
      <c r="C192" t="s">
        <v>187</v>
      </c>
      <c r="D192">
        <v>2.5000000000000001E-2</v>
      </c>
      <c r="E192">
        <v>15</v>
      </c>
      <c r="F192">
        <f t="shared" si="79"/>
        <v>263447.72119308147</v>
      </c>
      <c r="G192">
        <v>1.0309999999999999</v>
      </c>
      <c r="H192">
        <f t="shared" si="80"/>
        <v>271614.60055006697</v>
      </c>
      <c r="I192">
        <f t="shared" si="81"/>
        <v>21988.233478325146</v>
      </c>
      <c r="J192">
        <f t="shared" si="82"/>
        <v>6586.1930298270372</v>
      </c>
      <c r="L192">
        <f>'[1]standalone bat grid connection'!E10</f>
        <v>1889.1219837570934</v>
      </c>
      <c r="M192">
        <f t="shared" si="83"/>
        <v>1861.1000000000001</v>
      </c>
      <c r="O192">
        <f t="shared" si="84"/>
        <v>98614.077412398066</v>
      </c>
      <c r="P192">
        <f t="shared" si="85"/>
        <v>101671.1138121824</v>
      </c>
      <c r="Q192">
        <f t="shared" ref="Q192:Q197" si="88">P192*(EXP(D192*15)*(EXP(D192)-1))/(EXP(D192*15)-1)</f>
        <v>8230.6627993348666</v>
      </c>
      <c r="R192">
        <f t="shared" si="87"/>
        <v>5024.97</v>
      </c>
      <c r="S192">
        <v>375</v>
      </c>
    </row>
    <row r="193" spans="1:19" x14ac:dyDescent="0.2">
      <c r="A193" t="s">
        <v>152</v>
      </c>
      <c r="B193" t="s">
        <v>196</v>
      </c>
      <c r="C193" t="s">
        <v>187</v>
      </c>
      <c r="D193">
        <v>2.5000000000000001E-2</v>
      </c>
      <c r="E193">
        <v>15</v>
      </c>
      <c r="F193">
        <f t="shared" si="79"/>
        <v>263447.72119308147</v>
      </c>
      <c r="G193">
        <v>1.024</v>
      </c>
      <c r="H193">
        <f t="shared" si="80"/>
        <v>269770.46650171542</v>
      </c>
      <c r="I193">
        <f t="shared" si="81"/>
        <v>21838.943823283174</v>
      </c>
      <c r="J193">
        <f t="shared" si="82"/>
        <v>6586.1930298270372</v>
      </c>
      <c r="L193">
        <f>'[1]standalone bat grid connection'!E11</f>
        <v>1889.1219837570934</v>
      </c>
      <c r="M193">
        <f t="shared" si="83"/>
        <v>1861.1000000000001</v>
      </c>
      <c r="O193">
        <f t="shared" si="84"/>
        <v>98614.077412398066</v>
      </c>
      <c r="P193">
        <f t="shared" si="85"/>
        <v>100980.81527029563</v>
      </c>
      <c r="Q193">
        <f t="shared" si="88"/>
        <v>8174.7805106875885</v>
      </c>
      <c r="R193">
        <f t="shared" si="87"/>
        <v>5024.97</v>
      </c>
      <c r="S193">
        <v>393</v>
      </c>
    </row>
    <row r="194" spans="1:19" x14ac:dyDescent="0.2">
      <c r="A194" t="s">
        <v>157</v>
      </c>
      <c r="B194" t="s">
        <v>197</v>
      </c>
      <c r="C194" t="s">
        <v>187</v>
      </c>
      <c r="D194">
        <v>2.5000000000000001E-2</v>
      </c>
      <c r="E194">
        <v>15</v>
      </c>
      <c r="F194">
        <f t="shared" si="79"/>
        <v>263447.72119308147</v>
      </c>
      <c r="G194">
        <v>1.012</v>
      </c>
      <c r="H194">
        <f t="shared" si="80"/>
        <v>266609.09384739847</v>
      </c>
      <c r="I194">
        <f t="shared" si="81"/>
        <v>21583.018700354078</v>
      </c>
      <c r="J194">
        <f t="shared" si="82"/>
        <v>6586.1930298270372</v>
      </c>
      <c r="L194">
        <f>'[1]standalone bat grid connection'!E12</f>
        <v>1889.1219837570934</v>
      </c>
      <c r="M194">
        <f t="shared" si="83"/>
        <v>1861.1000000000001</v>
      </c>
      <c r="O194">
        <f t="shared" si="84"/>
        <v>98614.077412398066</v>
      </c>
      <c r="P194">
        <f t="shared" si="85"/>
        <v>99797.446341346847</v>
      </c>
      <c r="Q194">
        <f t="shared" si="88"/>
        <v>8078.9823015779684</v>
      </c>
      <c r="R194">
        <f t="shared" si="87"/>
        <v>5024.97</v>
      </c>
      <c r="S194">
        <v>409</v>
      </c>
    </row>
    <row r="195" spans="1:19" x14ac:dyDescent="0.2">
      <c r="A195" t="s">
        <v>164</v>
      </c>
      <c r="B195" t="s">
        <v>198</v>
      </c>
      <c r="C195" t="s">
        <v>187</v>
      </c>
      <c r="D195">
        <v>2.5000000000000001E-2</v>
      </c>
      <c r="E195">
        <v>15</v>
      </c>
      <c r="F195">
        <f t="shared" si="79"/>
        <v>263447.72119308147</v>
      </c>
      <c r="G195">
        <v>1.0309999999999999</v>
      </c>
      <c r="H195">
        <f t="shared" si="80"/>
        <v>271614.60055006697</v>
      </c>
      <c r="I195">
        <f t="shared" si="81"/>
        <v>21988.233478325146</v>
      </c>
      <c r="J195">
        <f t="shared" si="82"/>
        <v>6586.1930298270372</v>
      </c>
      <c r="L195">
        <f>'[1]standalone bat grid connection'!E13</f>
        <v>1889.1219837570934</v>
      </c>
      <c r="M195">
        <f t="shared" si="83"/>
        <v>1861.1000000000001</v>
      </c>
      <c r="O195">
        <f t="shared" si="84"/>
        <v>98614.077412398066</v>
      </c>
      <c r="P195">
        <f t="shared" si="85"/>
        <v>101671.1138121824</v>
      </c>
      <c r="Q195">
        <f t="shared" si="88"/>
        <v>8230.6627993348666</v>
      </c>
      <c r="R195">
        <f t="shared" si="87"/>
        <v>5024.97</v>
      </c>
      <c r="S195">
        <v>427</v>
      </c>
    </row>
    <row r="196" spans="1:19" x14ac:dyDescent="0.2">
      <c r="A196" t="s">
        <v>169</v>
      </c>
      <c r="B196" t="s">
        <v>199</v>
      </c>
      <c r="C196" t="s">
        <v>187</v>
      </c>
      <c r="D196">
        <v>2.5000000000000001E-2</v>
      </c>
      <c r="E196">
        <v>15</v>
      </c>
      <c r="F196">
        <f t="shared" si="79"/>
        <v>263447.72119308147</v>
      </c>
      <c r="G196">
        <v>1.0309999999999999</v>
      </c>
      <c r="H196">
        <f t="shared" si="80"/>
        <v>271614.60055006697</v>
      </c>
      <c r="I196">
        <f t="shared" si="81"/>
        <v>21988.233478325146</v>
      </c>
      <c r="J196">
        <f t="shared" si="82"/>
        <v>6586.1930298270372</v>
      </c>
      <c r="L196">
        <f>'[1]standalone bat grid connection'!E14</f>
        <v>1889.1219837570934</v>
      </c>
      <c r="M196">
        <f t="shared" si="83"/>
        <v>1861.1000000000001</v>
      </c>
      <c r="O196">
        <f t="shared" si="84"/>
        <v>98614.077412398066</v>
      </c>
      <c r="P196">
        <f t="shared" si="85"/>
        <v>101671.1138121824</v>
      </c>
      <c r="Q196">
        <f t="shared" si="88"/>
        <v>8230.6627993348666</v>
      </c>
      <c r="R196">
        <f t="shared" si="87"/>
        <v>5024.97</v>
      </c>
      <c r="S196">
        <v>442</v>
      </c>
    </row>
    <row r="197" spans="1:19" x14ac:dyDescent="0.2">
      <c r="A197" t="s">
        <v>176</v>
      </c>
      <c r="B197" t="s">
        <v>200</v>
      </c>
      <c r="C197" t="s">
        <v>187</v>
      </c>
      <c r="D197">
        <v>2.5000000000000001E-2</v>
      </c>
      <c r="E197">
        <v>15</v>
      </c>
      <c r="F197">
        <f t="shared" si="79"/>
        <v>263447.72119308147</v>
      </c>
      <c r="G197">
        <v>1.042</v>
      </c>
      <c r="H197">
        <f t="shared" si="80"/>
        <v>274512.5254831909</v>
      </c>
      <c r="I197">
        <f t="shared" si="81"/>
        <v>22222.831507676827</v>
      </c>
      <c r="J197">
        <f t="shared" si="82"/>
        <v>6586.1930298270372</v>
      </c>
      <c r="L197">
        <f>'[1]standalone bat grid connection'!E15</f>
        <v>4250.5244634534611</v>
      </c>
      <c r="M197">
        <f t="shared" si="83"/>
        <v>1861.1000000000001</v>
      </c>
      <c r="O197">
        <f t="shared" si="84"/>
        <v>98614.077412398066</v>
      </c>
      <c r="P197">
        <f t="shared" si="85"/>
        <v>102755.86866371879</v>
      </c>
      <c r="Q197">
        <f t="shared" si="88"/>
        <v>8318.4778243520195</v>
      </c>
      <c r="R197">
        <f t="shared" si="87"/>
        <v>5024.97</v>
      </c>
      <c r="S197">
        <v>476</v>
      </c>
    </row>
  </sheetData>
  <mergeCells count="7">
    <mergeCell ref="B1:C1"/>
    <mergeCell ref="K1:M1"/>
    <mergeCell ref="Q5:T5"/>
    <mergeCell ref="V5:Y5"/>
    <mergeCell ref="B21:C21"/>
    <mergeCell ref="Q27:T27"/>
    <mergeCell ref="V27:W2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ira, low, solar,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Aneesha Manocha</dc:creator>
  <cp:lastModifiedBy>Aneesha Manocha</cp:lastModifiedBy>
  <dcterms:created xsi:type="dcterms:W3CDTF">2023-06-01T15:57:45Z</dcterms:created>
  <dcterms:modified xsi:type="dcterms:W3CDTF">2023-06-01T16:07:57Z</dcterms:modified>
</cp:coreProperties>
</file>