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minguela\Dropbox\doctorado\trabajos propios para la tesis\finales\tesis\"/>
    </mc:Choice>
  </mc:AlternateContent>
  <bookViews>
    <workbookView xWindow="0" yWindow="0" windowWidth="28800" windowHeight="11568" activeTab="1"/>
  </bookViews>
  <sheets>
    <sheet name="Datos no borrar" sheetId="1" r:id="rId1"/>
    <sheet name="KURSK" sheetId="2" r:id="rId2"/>
  </sheets>
  <definedNames>
    <definedName name="solver_adj" localSheetId="1" hidden="1">KURSK!$P$1,KURSK!$P$2,KURSK!$R$1,KURSK!$R$2</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KURSK!$P$1</definedName>
    <definedName name="solver_lhs2" localSheetId="1" hidden="1">KURSK!$P$2</definedName>
    <definedName name="solver_lhs3" localSheetId="1" hidden="1">KURSK!$R$1</definedName>
    <definedName name="solver_lhs4" localSheetId="1" hidden="1">KURSK!$R$2</definedName>
    <definedName name="solver_lhs5" localSheetId="1" hidden="1">KURSK!$R$2</definedName>
    <definedName name="solver_lhs6" localSheetId="1" hidden="1">KURSK!$R$2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4</definedName>
    <definedName name="solver_nwt" localSheetId="1" hidden="1">1</definedName>
    <definedName name="solver_opt" localSheetId="1" hidden="1">KURSK!$N$16</definedName>
    <definedName name="solver_pre" localSheetId="1" hidden="1">0.000001</definedName>
    <definedName name="solver_rbv" localSheetId="1" hidden="1">1</definedName>
    <definedName name="solver_rel1" localSheetId="1" hidden="1">1</definedName>
    <definedName name="solver_rel2" localSheetId="1" hidden="1">1</definedName>
    <definedName name="solver_rel3" localSheetId="1" hidden="1">1</definedName>
    <definedName name="solver_rel4" localSheetId="1" hidden="1">1</definedName>
    <definedName name="solver_rel5" localSheetId="1" hidden="1">1</definedName>
    <definedName name="solver_rel6" localSheetId="1" hidden="1">1</definedName>
    <definedName name="solver_rhs1" localSheetId="1" hidden="1">2</definedName>
    <definedName name="solver_rhs2" localSheetId="1" hidden="1">2</definedName>
    <definedName name="solver_rhs3" localSheetId="1" hidden="1">1</definedName>
    <definedName name="solver_rhs4" localSheetId="1" hidden="1">1</definedName>
    <definedName name="solver_rhs5" localSheetId="1" hidden="1">1</definedName>
    <definedName name="solver_rhs6"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8" i="2" l="1"/>
  <c r="T76" i="2"/>
  <c r="U74" i="2" s="1"/>
  <c r="F101" i="2" s="1"/>
  <c r="H77" i="2"/>
  <c r="H75" i="2"/>
  <c r="M76" i="2"/>
  <c r="C77" i="2"/>
  <c r="C75" i="2"/>
  <c r="I73" i="2" l="1"/>
  <c r="F99" i="2" s="1"/>
  <c r="M78" i="2"/>
  <c r="N74" i="2" l="1"/>
  <c r="F100" i="2" s="1"/>
  <c r="D73" i="2"/>
  <c r="F98" i="2" s="1"/>
  <c r="L26" i="2"/>
  <c r="L27" i="2"/>
  <c r="L28" i="2"/>
  <c r="L29" i="2"/>
  <c r="L30" i="2"/>
  <c r="L31" i="2"/>
  <c r="L32" i="2"/>
  <c r="L33" i="2"/>
  <c r="L34" i="2"/>
  <c r="L35" i="2"/>
  <c r="L36" i="2"/>
  <c r="L37" i="2"/>
  <c r="L38" i="2"/>
  <c r="L25" i="2"/>
  <c r="K27" i="2"/>
  <c r="K28" i="2"/>
  <c r="K29" i="2"/>
  <c r="K30" i="2"/>
  <c r="K31" i="2"/>
  <c r="K32" i="2"/>
  <c r="K33" i="2"/>
  <c r="K34" i="2"/>
  <c r="K35" i="2"/>
  <c r="K36" i="2"/>
  <c r="K37" i="2"/>
  <c r="K38" i="2"/>
  <c r="P18" i="2"/>
  <c r="K26" i="2" s="1"/>
  <c r="P17" i="2"/>
  <c r="K25" i="2" s="1"/>
  <c r="I25" i="2"/>
  <c r="H25" i="2"/>
  <c r="K39" i="2" l="1"/>
  <c r="L39" i="2"/>
  <c r="E3" i="2"/>
  <c r="K3" i="2" s="1"/>
  <c r="I26" i="2" s="1"/>
  <c r="E4" i="2"/>
  <c r="E5" i="2"/>
  <c r="E6" i="2"/>
  <c r="E7" i="2"/>
  <c r="E8" i="2"/>
  <c r="E9" i="2"/>
  <c r="E10" i="2"/>
  <c r="E11" i="2"/>
  <c r="E12" i="2"/>
  <c r="E13" i="2"/>
  <c r="E14" i="2"/>
  <c r="E15" i="2"/>
  <c r="D3" i="2"/>
  <c r="J3" i="2" l="1"/>
  <c r="K4" i="2" s="1"/>
  <c r="I27" i="2" s="1"/>
  <c r="D15" i="2"/>
  <c r="D14" i="2"/>
  <c r="D13" i="2"/>
  <c r="D12" i="2"/>
  <c r="D11" i="2"/>
  <c r="D10" i="2"/>
  <c r="D9" i="2"/>
  <c r="D8" i="2"/>
  <c r="D7" i="2"/>
  <c r="D6" i="2"/>
  <c r="D5" i="2"/>
  <c r="D4" i="2"/>
  <c r="M6" i="1"/>
  <c r="M7" i="1" s="1"/>
  <c r="L6" i="1"/>
  <c r="L7" i="1" s="1"/>
  <c r="O5" i="1"/>
  <c r="N5" i="1"/>
  <c r="P5" i="1" s="1"/>
  <c r="O4" i="1"/>
  <c r="N4" i="1"/>
  <c r="O3" i="1"/>
  <c r="N3" i="1"/>
  <c r="P3" i="1" s="1"/>
  <c r="E15" i="1"/>
  <c r="E4" i="1"/>
  <c r="E5" i="1"/>
  <c r="E6" i="1"/>
  <c r="E7" i="1"/>
  <c r="E8" i="1"/>
  <c r="E9" i="1"/>
  <c r="E10" i="1"/>
  <c r="E11" i="1"/>
  <c r="E12" i="1"/>
  <c r="E13" i="1"/>
  <c r="E14" i="1"/>
  <c r="E3" i="1"/>
  <c r="D4" i="1"/>
  <c r="D5" i="1"/>
  <c r="D6" i="1"/>
  <c r="D7" i="1"/>
  <c r="D8" i="1"/>
  <c r="D9" i="1"/>
  <c r="D10" i="1"/>
  <c r="D11" i="1"/>
  <c r="D12" i="1"/>
  <c r="D13" i="1"/>
  <c r="D14" i="1"/>
  <c r="D15" i="1"/>
  <c r="D3" i="1"/>
  <c r="L3" i="2" l="1"/>
  <c r="J4" i="2"/>
  <c r="H27" i="2" s="1"/>
  <c r="H26" i="2"/>
  <c r="M3" i="2"/>
  <c r="P4" i="1"/>
  <c r="N7" i="1"/>
  <c r="L8" i="1"/>
  <c r="M8" i="1"/>
  <c r="O7" i="1"/>
  <c r="N6" i="1"/>
  <c r="P6" i="1" s="1"/>
  <c r="O6" i="1"/>
  <c r="N3" i="2" l="1"/>
  <c r="K5" i="2"/>
  <c r="I28" i="2" s="1"/>
  <c r="J5" i="2"/>
  <c r="H28" i="2" s="1"/>
  <c r="M4" i="2"/>
  <c r="L4" i="2"/>
  <c r="O8" i="1"/>
  <c r="M9" i="1"/>
  <c r="N8" i="1"/>
  <c r="L9" i="1"/>
  <c r="P7" i="1"/>
  <c r="L5" i="2" l="1"/>
  <c r="J6" i="2"/>
  <c r="H29" i="2" s="1"/>
  <c r="K6" i="2"/>
  <c r="I29" i="2" s="1"/>
  <c r="N4" i="2"/>
  <c r="O4" i="2" s="1"/>
  <c r="M5" i="2"/>
  <c r="P8" i="1"/>
  <c r="L10" i="1"/>
  <c r="N9" i="1"/>
  <c r="M10" i="1"/>
  <c r="O9" i="1"/>
  <c r="N5" i="2" l="1"/>
  <c r="L6" i="2"/>
  <c r="M6" i="2"/>
  <c r="K7" i="2"/>
  <c r="I30" i="2" s="1"/>
  <c r="J7" i="2"/>
  <c r="O10" i="1"/>
  <c r="M11" i="1"/>
  <c r="P9" i="1"/>
  <c r="N10" i="1"/>
  <c r="L11" i="1"/>
  <c r="N6" i="2" l="1"/>
  <c r="K8" i="2"/>
  <c r="I31" i="2" s="1"/>
  <c r="H30" i="2"/>
  <c r="J8" i="2"/>
  <c r="L7" i="2"/>
  <c r="M7" i="2"/>
  <c r="P10" i="1"/>
  <c r="O11" i="1"/>
  <c r="M12" i="1"/>
  <c r="L12" i="1"/>
  <c r="N11" i="1"/>
  <c r="M8" i="2" l="1"/>
  <c r="J9" i="2"/>
  <c r="H32" i="2" s="1"/>
  <c r="H31" i="2"/>
  <c r="K9" i="2"/>
  <c r="L8" i="2"/>
  <c r="N7" i="2"/>
  <c r="O7" i="2" s="1"/>
  <c r="P11" i="1"/>
  <c r="L13" i="1"/>
  <c r="N12" i="1"/>
  <c r="M13" i="1"/>
  <c r="O12" i="1"/>
  <c r="L9" i="2" l="1"/>
  <c r="N8" i="2"/>
  <c r="K10" i="2"/>
  <c r="I33" i="2" s="1"/>
  <c r="I32" i="2"/>
  <c r="J10" i="2"/>
  <c r="M9" i="2"/>
  <c r="O13" i="1"/>
  <c r="M14" i="1"/>
  <c r="P12" i="1"/>
  <c r="L14" i="1"/>
  <c r="N13" i="1"/>
  <c r="N9" i="2" l="1"/>
  <c r="M10" i="2"/>
  <c r="K11" i="2"/>
  <c r="I34" i="2" s="1"/>
  <c r="H33" i="2"/>
  <c r="J11" i="2"/>
  <c r="L10" i="2"/>
  <c r="P13" i="1"/>
  <c r="L15" i="1"/>
  <c r="N14" i="1"/>
  <c r="M15" i="1"/>
  <c r="O14" i="1"/>
  <c r="N10" i="2" l="1"/>
  <c r="K12" i="2"/>
  <c r="I35" i="2" s="1"/>
  <c r="H34" i="2"/>
  <c r="J12" i="2"/>
  <c r="L11" i="2"/>
  <c r="M11" i="2"/>
  <c r="P14" i="1"/>
  <c r="O15" i="1"/>
  <c r="M16" i="1"/>
  <c r="O16" i="1" s="1"/>
  <c r="N15" i="1"/>
  <c r="L16" i="1"/>
  <c r="N16" i="1" s="1"/>
  <c r="P16" i="1" s="1"/>
  <c r="M12" i="2" l="1"/>
  <c r="K13" i="2"/>
  <c r="I36" i="2" s="1"/>
  <c r="H35" i="2"/>
  <c r="J13" i="2"/>
  <c r="L12" i="2"/>
  <c r="N11" i="2"/>
  <c r="O11" i="2" s="1"/>
  <c r="P15" i="1"/>
  <c r="N12" i="2" l="1"/>
  <c r="K14" i="2"/>
  <c r="I37" i="2" s="1"/>
  <c r="H36" i="2"/>
  <c r="J14" i="2"/>
  <c r="L13" i="2"/>
  <c r="M13" i="2"/>
  <c r="M14" i="2" l="1"/>
  <c r="L14" i="2"/>
  <c r="H37" i="2"/>
  <c r="N13" i="2"/>
  <c r="K15" i="2"/>
  <c r="J15" i="2"/>
  <c r="N14" i="2" l="1"/>
  <c r="L15" i="2"/>
  <c r="H38" i="2"/>
  <c r="H39" i="2" s="1"/>
  <c r="M15" i="2"/>
  <c r="I38" i="2"/>
  <c r="I39" i="2" s="1"/>
  <c r="O31" i="2" l="1"/>
  <c r="N39" i="2"/>
  <c r="O32" i="2" s="1"/>
  <c r="N15" i="2"/>
  <c r="N16" i="2" s="1"/>
  <c r="O15" i="2" l="1"/>
</calcChain>
</file>

<file path=xl/sharedStrings.xml><?xml version="1.0" encoding="utf-8"?>
<sst xmlns="http://schemas.openxmlformats.org/spreadsheetml/2006/main" count="145" uniqueCount="75">
  <si>
    <t>Time (days)</t>
  </si>
  <si>
    <t>German</t>
  </si>
  <si>
    <t>Soviet</t>
  </si>
  <si>
    <t>Casualties German</t>
  </si>
  <si>
    <t>Casualties Soviet</t>
  </si>
  <si>
    <t>German reinforces and withdrawal</t>
  </si>
  <si>
    <t>Soviet reinforces and withdrawal</t>
  </si>
  <si>
    <t xml:space="preserve">USA </t>
  </si>
  <si>
    <t xml:space="preserve">JAPAN </t>
  </si>
  <si>
    <t>USA estimated</t>
  </si>
  <si>
    <t>JAPAN estimated</t>
  </si>
  <si>
    <t>x-x</t>
  </si>
  <si>
    <t>y-y</t>
  </si>
  <si>
    <t>minimos</t>
  </si>
  <si>
    <t>German reinforcement</t>
  </si>
  <si>
    <t>Soviet  estimated</t>
  </si>
  <si>
    <t>German estimated</t>
  </si>
  <si>
    <t>p</t>
  </si>
  <si>
    <t>Log estimation</t>
  </si>
  <si>
    <t>q</t>
  </si>
  <si>
    <t>Ver solver</t>
  </si>
  <si>
    <t>h</t>
  </si>
  <si>
    <t>La aproximación por mínimos cuadrados se basa en la minimización del error cuadrático medio o, equivalentemente, en la minimización del radicando de dicho error, el llamado error cuadrático= SUMA(errores^2)/Numero de observaciones. Para solver dividir entre el número de observaciones no cambia el valor de minimización, es decir solver intenta minimizar el error independientemente que esté dividido por número de observaciones.</t>
  </si>
  <si>
    <t>(X-Xestimado)^2</t>
  </si>
  <si>
    <t>(Y-Yestimado)^2</t>
  </si>
  <si>
    <t>Columna1</t>
  </si>
  <si>
    <t>(X-Xmedia)^2</t>
  </si>
  <si>
    <t>(Y-Ymedia)^2</t>
  </si>
  <si>
    <t>R^2=1-SSE/SST</t>
  </si>
  <si>
    <t>R^2=SCReg/SST</t>
  </si>
  <si>
    <t>0≤ R^2 ≤ 1</t>
  </si>
  <si>
    <t>SST=</t>
  </si>
  <si>
    <t>SCReg=</t>
  </si>
  <si>
    <t xml:space="preserve">XMedia </t>
  </si>
  <si>
    <t>Ymedia</t>
  </si>
  <si>
    <t>SSE=</t>
  </si>
  <si>
    <t>Ley Cuadrática</t>
  </si>
  <si>
    <t>Ley Log</t>
  </si>
  <si>
    <t>Ley Lineal</t>
  </si>
  <si>
    <t>Mi experimiento</t>
  </si>
  <si>
    <t>R^2</t>
  </si>
  <si>
    <t>Lucas and Dinges (punto de partida para la optimización)</t>
  </si>
  <si>
    <t>Mejor estimación conseguida</t>
  </si>
  <si>
    <t>Fase 1</t>
  </si>
  <si>
    <t>Fase 2</t>
  </si>
  <si>
    <t>Alemanes atacando con defensas soviéticas menos preparadas</t>
  </si>
  <si>
    <t>No cuenta</t>
  </si>
  <si>
    <t>La ofensiva alemana se para ante la ofensiva soviética asemeja a la square law</t>
  </si>
  <si>
    <t>Defensas soviéticas preparadas y alemanes atacando mayor efectividad soviética/ asemeja a log law</t>
  </si>
  <si>
    <t>Soviet troops</t>
  </si>
  <si>
    <t>German troops</t>
  </si>
  <si>
    <t>Soviet reinforcements</t>
  </si>
  <si>
    <t>German casualties</t>
  </si>
  <si>
    <t>Soviet casualties</t>
  </si>
  <si>
    <t>In the biginning</t>
  </si>
  <si>
    <t>Probabilidad ser atacado= 100%</t>
  </si>
  <si>
    <r>
      <t xml:space="preserve">In </t>
    </r>
    <r>
      <rPr>
        <sz val="10"/>
        <rFont val="Calibri"/>
        <family val="2"/>
      </rPr>
      <t>µ</t>
    </r>
    <r>
      <rPr>
        <sz val="10"/>
        <rFont val="Arial"/>
        <family val="2"/>
      </rPr>
      <t>&gt; 0, then the defending side theoretically has the advantage; if In  µ &lt; 0 then attacking side has the adventage</t>
    </r>
  </si>
  <si>
    <t>Defensor</t>
  </si>
  <si>
    <t>Atacante</t>
  </si>
  <si>
    <t xml:space="preserve">  identifica alto riesgo de ser atacado.</t>
  </si>
  <si>
    <t>ADVY Fase I</t>
  </si>
  <si>
    <t>ADVY Fase II</t>
  </si>
  <si>
    <t>ADVY Fase I evolution</t>
  </si>
  <si>
    <t>ADVY Fase II evolution</t>
  </si>
  <si>
    <t>lo lógico sería pasar a ofensiva</t>
  </si>
  <si>
    <t xml:space="preserve">el análsisi se inicializa con la linear law según Lucas 2000 y algoritmo evolutionary por que no tengo una solucion optima desde la cual moverme. </t>
  </si>
  <si>
    <t>Valor toda la serie histórica</t>
  </si>
  <si>
    <t>v</t>
  </si>
  <si>
    <t>Iteration</t>
  </si>
  <si>
    <t>WinsDef</t>
  </si>
  <si>
    <t>W=66%</t>
  </si>
  <si>
    <t>Da algún problema con Algoritmo GRG y lo he realizado con evolutionary este punto, el resto con GRG. Por otro lado calculo el valor inicial a apartir de los valores de Lucas 2004 para ley lineal y ejecuto evolutionary para obtener una aproximación real del conjunto. Luego ejecuto los tiempos de ventana con GRG algoritmo. Se ha dividido el error medio entre 100000 para solucionar los valores de escala que el grg algoritmo necesita para no entrar en problemas.</t>
  </si>
  <si>
    <t>W=10%</t>
  </si>
  <si>
    <t>W=75%</t>
  </si>
  <si>
    <t>W=95%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</si>
</sst>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name val="Arial"/>
      <family val="2"/>
    </font>
    <font>
      <sz val="10"/>
      <color theme="1"/>
      <name val="Arial"/>
      <family val="2"/>
    </font>
    <font>
      <sz val="10"/>
      <color theme="4"/>
      <name val="Arial"/>
      <family val="2"/>
    </font>
    <font>
      <sz val="10"/>
      <color theme="1"/>
      <name val="Arial"/>
      <family val="2"/>
    </font>
    <font>
      <sz val="10"/>
      <color theme="3"/>
      <name val="Arial"/>
      <family val="2"/>
    </font>
    <font>
      <sz val="10"/>
      <color theme="0"/>
      <name val="Arial"/>
      <family val="2"/>
    </font>
    <font>
      <sz val="11"/>
      <color rgb="FFFF0000"/>
      <name val="Calibri"/>
      <family val="2"/>
      <scheme val="minor"/>
    </font>
    <font>
      <b/>
      <sz val="10"/>
      <name val="Arial"/>
      <family val="2"/>
    </font>
    <font>
      <sz val="10"/>
      <name val="Calibri"/>
      <family val="2"/>
    </font>
  </fonts>
  <fills count="9">
    <fill>
      <patternFill patternType="none"/>
    </fill>
    <fill>
      <patternFill patternType="gray125"/>
    </fill>
    <fill>
      <patternFill patternType="solid">
        <fgColor theme="7"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7"/>
        <bgColor indexed="64"/>
      </patternFill>
    </fill>
    <fill>
      <patternFill patternType="solid">
        <fgColor rgb="FFFFC000"/>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right/>
      <top style="thin">
        <color theme="1"/>
      </top>
      <bottom/>
      <diagonal/>
    </border>
    <border>
      <left/>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Font="1" applyBorder="1"/>
    <xf numFmtId="0" fontId="0" fillId="0" borderId="2" xfId="0" applyFont="1" applyBorder="1"/>
    <xf numFmtId="0" fontId="1" fillId="2" borderId="3" xfId="0" applyFont="1" applyFill="1" applyBorder="1"/>
    <xf numFmtId="0" fontId="2" fillId="0" borderId="1" xfId="0" applyFont="1" applyBorder="1"/>
    <xf numFmtId="0" fontId="0" fillId="0" borderId="3" xfId="0" applyBorder="1"/>
    <xf numFmtId="0" fontId="1" fillId="0" borderId="0" xfId="0" applyFont="1"/>
    <xf numFmtId="0" fontId="1" fillId="3" borderId="0" xfId="0" applyFont="1" applyFill="1"/>
    <xf numFmtId="0" fontId="0" fillId="3" borderId="0" xfId="0" applyFill="1"/>
    <xf numFmtId="0" fontId="3" fillId="0" borderId="0" xfId="0" applyFont="1"/>
    <xf numFmtId="0" fontId="0" fillId="4" borderId="0" xfId="0" applyFill="1"/>
    <xf numFmtId="0" fontId="1" fillId="4" borderId="0" xfId="0" applyFont="1" applyFill="1"/>
    <xf numFmtId="0" fontId="4" fillId="0" borderId="1" xfId="0" applyFont="1" applyBorder="1"/>
    <xf numFmtId="0" fontId="5" fillId="0" borderId="0" xfId="0" applyFont="1"/>
    <xf numFmtId="0" fontId="6" fillId="0" borderId="0" xfId="0" applyFont="1"/>
    <xf numFmtId="0" fontId="7" fillId="0" borderId="0" xfId="0" applyFont="1"/>
    <xf numFmtId="0" fontId="1" fillId="5" borderId="0" xfId="0" applyFont="1" applyFill="1"/>
    <xf numFmtId="0" fontId="1" fillId="6" borderId="0" xfId="0" applyFont="1" applyFill="1"/>
    <xf numFmtId="0" fontId="0" fillId="6" borderId="0" xfId="0" applyFill="1"/>
    <xf numFmtId="0" fontId="0" fillId="7" borderId="0" xfId="0" applyFill="1"/>
    <xf numFmtId="11" fontId="0" fillId="0" borderId="0" xfId="0" applyNumberFormat="1"/>
    <xf numFmtId="2" fontId="0" fillId="0" borderId="0" xfId="0" applyNumberFormat="1"/>
    <xf numFmtId="2" fontId="0" fillId="7" borderId="0" xfId="0" applyNumberFormat="1" applyFill="1" applyAlignment="1">
      <alignment horizontal="right"/>
    </xf>
    <xf numFmtId="0" fontId="8" fillId="8" borderId="0" xfId="0" applyFont="1" applyFill="1"/>
    <xf numFmtId="0" fontId="0" fillId="8" borderId="0" xfId="0" applyFill="1"/>
    <xf numFmtId="0" fontId="1" fillId="8" borderId="0" xfId="0" applyFont="1" applyFill="1"/>
    <xf numFmtId="2" fontId="0" fillId="8" borderId="0" xfId="0" applyNumberFormat="1" applyFill="1"/>
    <xf numFmtId="9" fontId="0" fillId="0" borderId="0" xfId="0" applyNumberFormat="1"/>
  </cellXfs>
  <cellStyles count="1">
    <cellStyle name="Normal" xfId="0" builtinId="0"/>
  </cellStyles>
  <dxfs count="2">
    <dxf>
      <numFmt numFmtId="13" formatCode="0%"/>
    </dxf>
    <dxf>
      <font>
        <b val="0"/>
        <i val="0"/>
        <strike val="0"/>
        <condense val="0"/>
        <extend val="0"/>
        <outline val="0"/>
        <shadow val="0"/>
        <u val="none"/>
        <vertAlign val="baseline"/>
        <sz val="10"/>
        <color auto="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Kursk</a:t>
            </a:r>
            <a:r>
              <a:rPr lang="es-ES" baseline="0"/>
              <a:t> evolution</a:t>
            </a:r>
            <a:endParaRPr lang="es-E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KURSK!$B$1</c:f>
              <c:strCache>
                <c:ptCount val="1"/>
                <c:pt idx="0">
                  <c:v>Soviet troops</c:v>
                </c:pt>
              </c:strCache>
            </c:strRef>
          </c:tx>
          <c:spPr>
            <a:ln w="28575" cap="rnd">
              <a:solidFill>
                <a:schemeClr val="accent1"/>
              </a:solidFill>
              <a:round/>
            </a:ln>
            <a:effectLst/>
          </c:spPr>
          <c:marker>
            <c:symbol val="none"/>
          </c:marker>
          <c:cat>
            <c:numRef>
              <c:f>KURSK!$A$2:$A$15</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cat>
          <c:val>
            <c:numRef>
              <c:f>KURSK!$B$2:$B$15</c:f>
              <c:numCache>
                <c:formatCode>General</c:formatCode>
                <c:ptCount val="14"/>
                <c:pt idx="0">
                  <c:v>84783</c:v>
                </c:pt>
                <c:pt idx="1">
                  <c:v>141589</c:v>
                </c:pt>
                <c:pt idx="2">
                  <c:v>163378</c:v>
                </c:pt>
                <c:pt idx="3">
                  <c:v>145875</c:v>
                </c:pt>
                <c:pt idx="4">
                  <c:v>179607</c:v>
                </c:pt>
                <c:pt idx="5">
                  <c:v>166526</c:v>
                </c:pt>
                <c:pt idx="6">
                  <c:v>219343</c:v>
                </c:pt>
                <c:pt idx="7">
                  <c:v>252844</c:v>
                </c:pt>
                <c:pt idx="8">
                  <c:v>175121</c:v>
                </c:pt>
                <c:pt idx="9">
                  <c:v>206465</c:v>
                </c:pt>
                <c:pt idx="10">
                  <c:v>89898</c:v>
                </c:pt>
                <c:pt idx="11">
                  <c:v>87769</c:v>
                </c:pt>
                <c:pt idx="12">
                  <c:v>37981</c:v>
                </c:pt>
                <c:pt idx="13">
                  <c:v>119346</c:v>
                </c:pt>
              </c:numCache>
            </c:numRef>
          </c:val>
          <c:smooth val="0"/>
          <c:extLst>
            <c:ext xmlns:c16="http://schemas.microsoft.com/office/drawing/2014/chart" uri="{C3380CC4-5D6E-409C-BE32-E72D297353CC}">
              <c16:uniqueId val="{00000000-0D0C-4287-849B-F0FF8FDC2DA0}"/>
            </c:ext>
          </c:extLst>
        </c:ser>
        <c:ser>
          <c:idx val="1"/>
          <c:order val="1"/>
          <c:tx>
            <c:strRef>
              <c:f>KURSK!$C$1</c:f>
              <c:strCache>
                <c:ptCount val="1"/>
                <c:pt idx="0">
                  <c:v>German troops</c:v>
                </c:pt>
              </c:strCache>
            </c:strRef>
          </c:tx>
          <c:spPr>
            <a:ln w="28575" cap="rnd">
              <a:solidFill>
                <a:schemeClr val="accent2"/>
              </a:solidFill>
              <a:round/>
            </a:ln>
            <a:effectLst/>
          </c:spPr>
          <c:marker>
            <c:symbol val="none"/>
          </c:marker>
          <c:cat>
            <c:numRef>
              <c:f>KURSK!$A$2:$A$15</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cat>
          <c:val>
            <c:numRef>
              <c:f>KURSK!$C$2:$C$15</c:f>
              <c:numCache>
                <c:formatCode>General</c:formatCode>
                <c:ptCount val="14"/>
                <c:pt idx="0">
                  <c:v>247866</c:v>
                </c:pt>
                <c:pt idx="1">
                  <c:v>261368</c:v>
                </c:pt>
                <c:pt idx="2">
                  <c:v>211212</c:v>
                </c:pt>
                <c:pt idx="3">
                  <c:v>227314</c:v>
                </c:pt>
                <c:pt idx="4">
                  <c:v>224664</c:v>
                </c:pt>
                <c:pt idx="5">
                  <c:v>200686</c:v>
                </c:pt>
                <c:pt idx="6">
                  <c:v>232938</c:v>
                </c:pt>
                <c:pt idx="7">
                  <c:v>262920</c:v>
                </c:pt>
                <c:pt idx="8">
                  <c:v>279697</c:v>
                </c:pt>
                <c:pt idx="9">
                  <c:v>208498</c:v>
                </c:pt>
                <c:pt idx="10">
                  <c:v>226075</c:v>
                </c:pt>
                <c:pt idx="11">
                  <c:v>131800</c:v>
                </c:pt>
                <c:pt idx="12">
                  <c:v>149438</c:v>
                </c:pt>
                <c:pt idx="13">
                  <c:v>188079</c:v>
                </c:pt>
              </c:numCache>
            </c:numRef>
          </c:val>
          <c:smooth val="0"/>
          <c:extLst>
            <c:ext xmlns:c16="http://schemas.microsoft.com/office/drawing/2014/chart" uri="{C3380CC4-5D6E-409C-BE32-E72D297353CC}">
              <c16:uniqueId val="{00000001-0D0C-4287-849B-F0FF8FDC2DA0}"/>
            </c:ext>
          </c:extLst>
        </c:ser>
        <c:dLbls>
          <c:showLegendKey val="0"/>
          <c:showVal val="0"/>
          <c:showCatName val="0"/>
          <c:showSerName val="0"/>
          <c:showPercent val="0"/>
          <c:showBubbleSize val="0"/>
        </c:dLbls>
        <c:smooth val="0"/>
        <c:axId val="205696200"/>
        <c:axId val="205700792"/>
      </c:lineChart>
      <c:catAx>
        <c:axId val="20569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700792"/>
        <c:crosses val="autoZero"/>
        <c:auto val="1"/>
        <c:lblAlgn val="ctr"/>
        <c:lblOffset val="100"/>
        <c:noMultiLvlLbl val="0"/>
      </c:catAx>
      <c:valAx>
        <c:axId val="205700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696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Casualties evolution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KURSK!$F$1</c:f>
              <c:strCache>
                <c:ptCount val="1"/>
                <c:pt idx="0">
                  <c:v>German casualties</c:v>
                </c:pt>
              </c:strCache>
            </c:strRef>
          </c:tx>
          <c:spPr>
            <a:ln w="28575" cap="rnd">
              <a:solidFill>
                <a:schemeClr val="accent1"/>
              </a:solidFill>
              <a:round/>
            </a:ln>
            <a:effectLst/>
          </c:spPr>
          <c:marker>
            <c:symbol val="none"/>
          </c:marker>
          <c:cat>
            <c:numRef>
              <c:f>KURSK!$A$2:$A$15</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cat>
          <c:val>
            <c:numRef>
              <c:f>KURSK!$F$2:$F$15</c:f>
              <c:numCache>
                <c:formatCode>General</c:formatCode>
                <c:ptCount val="14"/>
                <c:pt idx="0">
                  <c:v>5863</c:v>
                </c:pt>
                <c:pt idx="1">
                  <c:v>3604</c:v>
                </c:pt>
                <c:pt idx="2">
                  <c:v>3047</c:v>
                </c:pt>
                <c:pt idx="3">
                  <c:v>2744</c:v>
                </c:pt>
                <c:pt idx="4">
                  <c:v>2623</c:v>
                </c:pt>
                <c:pt idx="5">
                  <c:v>1848</c:v>
                </c:pt>
                <c:pt idx="6">
                  <c:v>2360</c:v>
                </c:pt>
                <c:pt idx="7">
                  <c:v>2575</c:v>
                </c:pt>
                <c:pt idx="8">
                  <c:v>2031</c:v>
                </c:pt>
                <c:pt idx="9">
                  <c:v>1677</c:v>
                </c:pt>
                <c:pt idx="10">
                  <c:v>1064</c:v>
                </c:pt>
                <c:pt idx="11">
                  <c:v>469</c:v>
                </c:pt>
                <c:pt idx="12">
                  <c:v>495</c:v>
                </c:pt>
                <c:pt idx="13">
                  <c:v>807</c:v>
                </c:pt>
              </c:numCache>
            </c:numRef>
          </c:val>
          <c:smooth val="0"/>
          <c:extLst>
            <c:ext xmlns:c16="http://schemas.microsoft.com/office/drawing/2014/chart" uri="{C3380CC4-5D6E-409C-BE32-E72D297353CC}">
              <c16:uniqueId val="{00000000-E676-433D-9B8D-17380B6CD31F}"/>
            </c:ext>
          </c:extLst>
        </c:ser>
        <c:ser>
          <c:idx val="1"/>
          <c:order val="1"/>
          <c:tx>
            <c:strRef>
              <c:f>KURSK!$G$1</c:f>
              <c:strCache>
                <c:ptCount val="1"/>
                <c:pt idx="0">
                  <c:v>Soviet casualties</c:v>
                </c:pt>
              </c:strCache>
            </c:strRef>
          </c:tx>
          <c:spPr>
            <a:ln w="28575" cap="rnd">
              <a:solidFill>
                <a:schemeClr val="accent2"/>
              </a:solidFill>
              <a:round/>
            </a:ln>
            <a:effectLst/>
          </c:spPr>
          <c:marker>
            <c:symbol val="none"/>
          </c:marker>
          <c:cat>
            <c:numRef>
              <c:f>KURSK!$A$2:$A$15</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cat>
          <c:val>
            <c:numRef>
              <c:f>KURSK!$G$2:$G$15</c:f>
              <c:numCache>
                <c:formatCode>General</c:formatCode>
                <c:ptCount val="14"/>
                <c:pt idx="0">
                  <c:v>8268</c:v>
                </c:pt>
                <c:pt idx="1">
                  <c:v>8888</c:v>
                </c:pt>
                <c:pt idx="2">
                  <c:v>8898</c:v>
                </c:pt>
                <c:pt idx="3">
                  <c:v>7534</c:v>
                </c:pt>
                <c:pt idx="4">
                  <c:v>8608</c:v>
                </c:pt>
                <c:pt idx="5">
                  <c:v>8138</c:v>
                </c:pt>
                <c:pt idx="6">
                  <c:v>6634</c:v>
                </c:pt>
                <c:pt idx="7">
                  <c:v>18072</c:v>
                </c:pt>
                <c:pt idx="8">
                  <c:v>8688</c:v>
                </c:pt>
                <c:pt idx="9">
                  <c:v>6148</c:v>
                </c:pt>
                <c:pt idx="10">
                  <c:v>2472</c:v>
                </c:pt>
                <c:pt idx="11">
                  <c:v>2114</c:v>
                </c:pt>
                <c:pt idx="12">
                  <c:v>457</c:v>
                </c:pt>
                <c:pt idx="13">
                  <c:v>2404</c:v>
                </c:pt>
              </c:numCache>
            </c:numRef>
          </c:val>
          <c:smooth val="0"/>
          <c:extLst>
            <c:ext xmlns:c16="http://schemas.microsoft.com/office/drawing/2014/chart" uri="{C3380CC4-5D6E-409C-BE32-E72D297353CC}">
              <c16:uniqueId val="{00000001-E676-433D-9B8D-17380B6CD31F}"/>
            </c:ext>
          </c:extLst>
        </c:ser>
        <c:dLbls>
          <c:showLegendKey val="0"/>
          <c:showVal val="0"/>
          <c:showCatName val="0"/>
          <c:showSerName val="0"/>
          <c:showPercent val="0"/>
          <c:showBubbleSize val="0"/>
        </c:dLbls>
        <c:smooth val="0"/>
        <c:axId val="743821184"/>
        <c:axId val="743821512"/>
      </c:lineChart>
      <c:catAx>
        <c:axId val="74382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3821512"/>
        <c:crosses val="autoZero"/>
        <c:auto val="1"/>
        <c:lblAlgn val="ctr"/>
        <c:lblOffset val="100"/>
        <c:noMultiLvlLbl val="0"/>
      </c:catAx>
      <c:valAx>
        <c:axId val="74382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3821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a:t>
            </a:r>
            <a:r>
              <a:rPr lang="es-ES" baseline="0"/>
              <a:t> evolution</a:t>
            </a:r>
            <a:endParaRPr lang="es-E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(KURSK!$P$5,KURSK!$P$8,KURSK!$P$11,KURSK!$P$14)</c:f>
              <c:numCache>
                <c:formatCode>General</c:formatCode>
                <c:ptCount val="4"/>
                <c:pt idx="0">
                  <c:v>1.8014123361009111E-2</c:v>
                </c:pt>
                <c:pt idx="1">
                  <c:v>1.809887152029822E-2</c:v>
                </c:pt>
                <c:pt idx="2">
                  <c:v>0.90808715746220026</c:v>
                </c:pt>
                <c:pt idx="3">
                  <c:v>0.90485740292786254</c:v>
                </c:pt>
              </c:numCache>
            </c:numRef>
          </c:val>
          <c:smooth val="0"/>
          <c:extLst>
            <c:ext xmlns:c16="http://schemas.microsoft.com/office/drawing/2014/chart" uri="{C3380CC4-5D6E-409C-BE32-E72D297353CC}">
              <c16:uniqueId val="{00000000-FE12-446B-8694-E634A1C34418}"/>
            </c:ext>
          </c:extLst>
        </c:ser>
        <c:dLbls>
          <c:showLegendKey val="0"/>
          <c:showVal val="0"/>
          <c:showCatName val="0"/>
          <c:showSerName val="0"/>
          <c:showPercent val="0"/>
          <c:showBubbleSize val="0"/>
        </c:dLbls>
        <c:smooth val="0"/>
        <c:axId val="564443072"/>
        <c:axId val="564437824"/>
      </c:lineChart>
      <c:catAx>
        <c:axId val="5644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Iteration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4437824"/>
        <c:crosses val="autoZero"/>
        <c:auto val="1"/>
        <c:lblAlgn val="ctr"/>
        <c:lblOffset val="100"/>
        <c:noMultiLvlLbl val="0"/>
      </c:catAx>
      <c:valAx>
        <c:axId val="56443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444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q</a:t>
            </a:r>
            <a:r>
              <a:rPr lang="es-ES" baseline="0"/>
              <a:t> evolution</a:t>
            </a:r>
            <a:endParaRPr lang="es-E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(KURSK!$P$6,KURSK!$P$9,KURSK!$P$12,KURSK!$P$15)</c:f>
              <c:numCache>
                <c:formatCode>General</c:formatCode>
                <c:ptCount val="4"/>
                <c:pt idx="0">
                  <c:v>0.72300628623850671</c:v>
                </c:pt>
                <c:pt idx="1">
                  <c:v>0.73365446648895438</c:v>
                </c:pt>
                <c:pt idx="2">
                  <c:v>0</c:v>
                </c:pt>
                <c:pt idx="3">
                  <c:v>0</c:v>
                </c:pt>
              </c:numCache>
            </c:numRef>
          </c:val>
          <c:smooth val="0"/>
          <c:extLst>
            <c:ext xmlns:c16="http://schemas.microsoft.com/office/drawing/2014/chart" uri="{C3380CC4-5D6E-409C-BE32-E72D297353CC}">
              <c16:uniqueId val="{00000000-3BBD-47CB-81D4-CD646CEE11AA}"/>
            </c:ext>
          </c:extLst>
        </c:ser>
        <c:dLbls>
          <c:showLegendKey val="0"/>
          <c:showVal val="0"/>
          <c:showCatName val="0"/>
          <c:showSerName val="0"/>
          <c:showPercent val="0"/>
          <c:showBubbleSize val="0"/>
        </c:dLbls>
        <c:smooth val="0"/>
        <c:axId val="566133440"/>
        <c:axId val="566133768"/>
      </c:lineChart>
      <c:catAx>
        <c:axId val="56613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Iteration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6133768"/>
        <c:crosses val="autoZero"/>
        <c:auto val="1"/>
        <c:lblAlgn val="ctr"/>
        <c:lblOffset val="100"/>
        <c:noMultiLvlLbl val="0"/>
      </c:catAx>
      <c:valAx>
        <c:axId val="566133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6133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a:t>
            </a:r>
            <a:r>
              <a:rPr lang="es-ES" baseline="0"/>
              <a:t> evolution "German lethality"</a:t>
            </a:r>
            <a:endParaRPr lang="es-E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(KURSK!$R$5,KURSK!$R$8,KURSK!$R$11,KURSK!$R$14)</c:f>
              <c:numCache>
                <c:formatCode>0.00E+00</c:formatCode>
                <c:ptCount val="4"/>
                <c:pt idx="0">
                  <c:v>0.2748857559466335</c:v>
                </c:pt>
                <c:pt idx="1">
                  <c:v>0.32186137926580843</c:v>
                </c:pt>
                <c:pt idx="2">
                  <c:v>3.0682581486255026E-2</c:v>
                </c:pt>
                <c:pt idx="3">
                  <c:v>2.8684687516150772E-2</c:v>
                </c:pt>
              </c:numCache>
            </c:numRef>
          </c:val>
          <c:smooth val="0"/>
          <c:extLst>
            <c:ext xmlns:c16="http://schemas.microsoft.com/office/drawing/2014/chart" uri="{C3380CC4-5D6E-409C-BE32-E72D297353CC}">
              <c16:uniqueId val="{00000000-7C39-416B-985D-963E03B4D921}"/>
            </c:ext>
          </c:extLst>
        </c:ser>
        <c:dLbls>
          <c:showLegendKey val="0"/>
          <c:showVal val="0"/>
          <c:showCatName val="0"/>
          <c:showSerName val="0"/>
          <c:showPercent val="0"/>
          <c:showBubbleSize val="0"/>
        </c:dLbls>
        <c:smooth val="0"/>
        <c:axId val="566599352"/>
        <c:axId val="566602304"/>
      </c:lineChart>
      <c:catAx>
        <c:axId val="566599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Iteration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6602304"/>
        <c:crosses val="autoZero"/>
        <c:auto val="1"/>
        <c:lblAlgn val="ctr"/>
        <c:lblOffset val="100"/>
        <c:noMultiLvlLbl val="0"/>
      </c:catAx>
      <c:valAx>
        <c:axId val="56660230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6599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 evolution "Soviet lethality"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(KURSK!$R$6,KURSK!$R$9,KURSK!$R$12,KURSK!$R$15:$R$16)</c:f>
              <c:numCache>
                <c:formatCode>0.00E+00</c:formatCode>
                <c:ptCount val="5"/>
                <c:pt idx="0">
                  <c:v>0.85961122203218676</c:v>
                </c:pt>
                <c:pt idx="1">
                  <c:v>0.78266776212868583</c:v>
                </c:pt>
                <c:pt idx="2">
                  <c:v>0.16572510843186375</c:v>
                </c:pt>
                <c:pt idx="3">
                  <c:v>0.15666397174573404</c:v>
                </c:pt>
              </c:numCache>
            </c:numRef>
          </c:val>
          <c:smooth val="0"/>
          <c:extLst>
            <c:ext xmlns:c16="http://schemas.microsoft.com/office/drawing/2014/chart" uri="{C3380CC4-5D6E-409C-BE32-E72D297353CC}">
              <c16:uniqueId val="{00000000-AB76-4502-89AA-C343658A3501}"/>
            </c:ext>
          </c:extLst>
        </c:ser>
        <c:dLbls>
          <c:showLegendKey val="0"/>
          <c:showVal val="0"/>
          <c:showCatName val="0"/>
          <c:showSerName val="0"/>
          <c:showPercent val="0"/>
          <c:showBubbleSize val="0"/>
        </c:dLbls>
        <c:smooth val="0"/>
        <c:axId val="566597056"/>
        <c:axId val="566597384"/>
      </c:lineChart>
      <c:catAx>
        <c:axId val="56659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Iteration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6597384"/>
        <c:crosses val="autoZero"/>
        <c:auto val="1"/>
        <c:lblAlgn val="ctr"/>
        <c:lblOffset val="100"/>
        <c:noMultiLvlLbl val="0"/>
      </c:catAx>
      <c:valAx>
        <c:axId val="56659738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659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Probability</a:t>
            </a:r>
            <a:r>
              <a:rPr lang="es-ES" baseline="0"/>
              <a:t> of been rejected by the defender</a:t>
            </a:r>
            <a:endParaRPr lang="es-E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KURSK!$F$97</c:f>
              <c:strCache>
                <c:ptCount val="1"/>
                <c:pt idx="0">
                  <c:v>v</c:v>
                </c:pt>
              </c:strCache>
            </c:strRef>
          </c:tx>
          <c:spPr>
            <a:solidFill>
              <a:schemeClr val="accent1"/>
            </a:solidFill>
            <a:ln>
              <a:noFill/>
            </a:ln>
            <a:effectLst/>
          </c:spPr>
          <c:invertIfNegative val="0"/>
          <c:cat>
            <c:numRef>
              <c:f>KURSK!$E$98:$E$101</c:f>
              <c:numCache>
                <c:formatCode>General</c:formatCode>
                <c:ptCount val="4"/>
                <c:pt idx="0">
                  <c:v>1</c:v>
                </c:pt>
                <c:pt idx="1">
                  <c:v>2</c:v>
                </c:pt>
                <c:pt idx="2">
                  <c:v>3</c:v>
                </c:pt>
                <c:pt idx="3">
                  <c:v>4</c:v>
                </c:pt>
              </c:numCache>
            </c:numRef>
          </c:cat>
          <c:val>
            <c:numRef>
              <c:f>KURSK!$F$98:$F$101</c:f>
              <c:numCache>
                <c:formatCode>General</c:formatCode>
                <c:ptCount val="4"/>
                <c:pt idx="0">
                  <c:v>-0.47941284237631543</c:v>
                </c:pt>
                <c:pt idx="1">
                  <c:v>0.31326648663893181</c:v>
                </c:pt>
                <c:pt idx="2">
                  <c:v>0.40521656349204277</c:v>
                </c:pt>
                <c:pt idx="3">
                  <c:v>0.83351912121356952</c:v>
                </c:pt>
              </c:numCache>
            </c:numRef>
          </c:val>
          <c:extLst>
            <c:ext xmlns:c16="http://schemas.microsoft.com/office/drawing/2014/chart" uri="{C3380CC4-5D6E-409C-BE32-E72D297353CC}">
              <c16:uniqueId val="{00000000-E6E4-4C1D-918F-DF5EA2A9DDAD}"/>
            </c:ext>
          </c:extLst>
        </c:ser>
        <c:dLbls>
          <c:showLegendKey val="0"/>
          <c:showVal val="0"/>
          <c:showCatName val="0"/>
          <c:showSerName val="0"/>
          <c:showPercent val="0"/>
          <c:showBubbleSize val="0"/>
        </c:dLbls>
        <c:gapWidth val="219"/>
        <c:overlap val="-27"/>
        <c:axId val="657991976"/>
        <c:axId val="657990992"/>
      </c:barChart>
      <c:lineChart>
        <c:grouping val="standard"/>
        <c:varyColors val="0"/>
        <c:ser>
          <c:idx val="1"/>
          <c:order val="1"/>
          <c:tx>
            <c:strRef>
              <c:f>KURSK!$G$97</c:f>
              <c:strCache>
                <c:ptCount val="1"/>
                <c:pt idx="0">
                  <c:v>WinsDef</c:v>
                </c:pt>
              </c:strCache>
            </c:strRef>
          </c:tx>
          <c:spPr>
            <a:ln w="28575" cap="rnd">
              <a:solidFill>
                <a:schemeClr val="accent2"/>
              </a:solidFill>
              <a:round/>
            </a:ln>
            <a:effectLst/>
          </c:spPr>
          <c:marker>
            <c:symbol val="none"/>
          </c:marker>
          <c:cat>
            <c:numRef>
              <c:f>KURSK!$E$98:$E$101</c:f>
              <c:numCache>
                <c:formatCode>General</c:formatCode>
                <c:ptCount val="4"/>
                <c:pt idx="0">
                  <c:v>1</c:v>
                </c:pt>
                <c:pt idx="1">
                  <c:v>2</c:v>
                </c:pt>
                <c:pt idx="2">
                  <c:v>3</c:v>
                </c:pt>
                <c:pt idx="3">
                  <c:v>4</c:v>
                </c:pt>
              </c:numCache>
            </c:numRef>
          </c:cat>
          <c:val>
            <c:numRef>
              <c:f>KURSK!$G$98:$G$101</c:f>
              <c:numCache>
                <c:formatCode>0%</c:formatCode>
                <c:ptCount val="4"/>
                <c:pt idx="0">
                  <c:v>0.1</c:v>
                </c:pt>
                <c:pt idx="1">
                  <c:v>0.66</c:v>
                </c:pt>
                <c:pt idx="2">
                  <c:v>0.75</c:v>
                </c:pt>
                <c:pt idx="3">
                  <c:v>0.95</c:v>
                </c:pt>
              </c:numCache>
            </c:numRef>
          </c:val>
          <c:smooth val="0"/>
          <c:extLst>
            <c:ext xmlns:c16="http://schemas.microsoft.com/office/drawing/2014/chart" uri="{C3380CC4-5D6E-409C-BE32-E72D297353CC}">
              <c16:uniqueId val="{00000001-E6E4-4C1D-918F-DF5EA2A9DDAD}"/>
            </c:ext>
          </c:extLst>
        </c:ser>
        <c:dLbls>
          <c:showLegendKey val="0"/>
          <c:showVal val="0"/>
          <c:showCatName val="0"/>
          <c:showSerName val="0"/>
          <c:showPercent val="0"/>
          <c:showBubbleSize val="0"/>
        </c:dLbls>
        <c:marker val="1"/>
        <c:smooth val="0"/>
        <c:axId val="657991976"/>
        <c:axId val="657990992"/>
      </c:lineChart>
      <c:catAx>
        <c:axId val="65799197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57990992"/>
        <c:crosses val="autoZero"/>
        <c:auto val="1"/>
        <c:lblAlgn val="ctr"/>
        <c:lblOffset val="100"/>
        <c:noMultiLvlLbl val="0"/>
      </c:catAx>
      <c:valAx>
        <c:axId val="65799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Probability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57991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7.pn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6.png"/><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image" Target="../media/image4.png"/><Relationship Id="rId11" Type="http://schemas.openxmlformats.org/officeDocument/2006/relationships/chart" Target="../charts/chart6.xml"/><Relationship Id="rId5" Type="http://schemas.openxmlformats.org/officeDocument/2006/relationships/image" Target="../media/image3.png"/><Relationship Id="rId15" Type="http://schemas.openxmlformats.org/officeDocument/2006/relationships/image" Target="../media/image8.png"/><Relationship Id="rId10" Type="http://schemas.openxmlformats.org/officeDocument/2006/relationships/chart" Target="../charts/chart5.xml"/><Relationship Id="rId4" Type="http://schemas.openxmlformats.org/officeDocument/2006/relationships/image" Target="../media/image2.png"/><Relationship Id="rId9" Type="http://schemas.openxmlformats.org/officeDocument/2006/relationships/chart" Target="../charts/chart4.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320040</xdr:colOff>
      <xdr:row>15</xdr:row>
      <xdr:rowOff>118110</xdr:rowOff>
    </xdr:from>
    <xdr:to>
      <xdr:col>4</xdr:col>
      <xdr:colOff>1135380</xdr:colOff>
      <xdr:row>30</xdr:row>
      <xdr:rowOff>118110</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309650</xdr:colOff>
      <xdr:row>32</xdr:row>
      <xdr:rowOff>44681</xdr:rowOff>
    </xdr:from>
    <xdr:to>
      <xdr:col>4</xdr:col>
      <xdr:colOff>910936</xdr:colOff>
      <xdr:row>47</xdr:row>
      <xdr:rowOff>44682</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205740</xdr:colOff>
      <xdr:row>71</xdr:row>
      <xdr:rowOff>83820</xdr:rowOff>
    </xdr:from>
    <xdr:to>
      <xdr:col>2</xdr:col>
      <xdr:colOff>1303020</xdr:colOff>
      <xdr:row>73</xdr:row>
      <xdr:rowOff>106680</xdr:rowOff>
    </xdr:to>
    <xdr:pic>
      <xdr:nvPicPr>
        <xdr:cNvPr id="11" name="Imagen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622280" y="7795260"/>
          <a:ext cx="1097280"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74</xdr:row>
      <xdr:rowOff>0</xdr:rowOff>
    </xdr:from>
    <xdr:to>
      <xdr:col>1</xdr:col>
      <xdr:colOff>480060</xdr:colOff>
      <xdr:row>75</xdr:row>
      <xdr:rowOff>91440</xdr:rowOff>
    </xdr:to>
    <xdr:pic>
      <xdr:nvPicPr>
        <xdr:cNvPr id="12" name="Imagen 1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151620" y="8221980"/>
          <a:ext cx="480060" cy="25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76</xdr:row>
      <xdr:rowOff>0</xdr:rowOff>
    </xdr:from>
    <xdr:to>
      <xdr:col>1</xdr:col>
      <xdr:colOff>487680</xdr:colOff>
      <xdr:row>77</xdr:row>
      <xdr:rowOff>91440</xdr:rowOff>
    </xdr:to>
    <xdr:pic>
      <xdr:nvPicPr>
        <xdr:cNvPr id="13" name="Imagen 19"/>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151620" y="8557260"/>
          <a:ext cx="487680" cy="25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373380</xdr:colOff>
      <xdr:row>78</xdr:row>
      <xdr:rowOff>99060</xdr:rowOff>
    </xdr:from>
    <xdr:to>
      <xdr:col>2</xdr:col>
      <xdr:colOff>1303020</xdr:colOff>
      <xdr:row>80</xdr:row>
      <xdr:rowOff>45720</xdr:rowOff>
    </xdr:to>
    <xdr:pic>
      <xdr:nvPicPr>
        <xdr:cNvPr id="14" name="Imagen 9"/>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789920" y="8991600"/>
          <a:ext cx="9296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617220</xdr:colOff>
      <xdr:row>78</xdr:row>
      <xdr:rowOff>0</xdr:rowOff>
    </xdr:from>
    <xdr:to>
      <xdr:col>5</xdr:col>
      <xdr:colOff>1249681</xdr:colOff>
      <xdr:row>85</xdr:row>
      <xdr:rowOff>91440</xdr:rowOff>
    </xdr:to>
    <xdr:pic>
      <xdr:nvPicPr>
        <xdr:cNvPr id="15" name="Imagen 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82700" y="8892540"/>
          <a:ext cx="210312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205740</xdr:colOff>
      <xdr:row>72</xdr:row>
      <xdr:rowOff>83820</xdr:rowOff>
    </xdr:from>
    <xdr:to>
      <xdr:col>12</xdr:col>
      <xdr:colOff>1303020</xdr:colOff>
      <xdr:row>74</xdr:row>
      <xdr:rowOff>106680</xdr:rowOff>
    </xdr:to>
    <xdr:pic>
      <xdr:nvPicPr>
        <xdr:cNvPr id="16" name="Imagen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26722" y="12857711"/>
          <a:ext cx="800100" cy="383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75</xdr:row>
      <xdr:rowOff>0</xdr:rowOff>
    </xdr:from>
    <xdr:to>
      <xdr:col>11</xdr:col>
      <xdr:colOff>480060</xdr:colOff>
      <xdr:row>76</xdr:row>
      <xdr:rowOff>91440</xdr:rowOff>
    </xdr:to>
    <xdr:pic>
      <xdr:nvPicPr>
        <xdr:cNvPr id="17" name="Imagen 1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31273" y="13314218"/>
          <a:ext cx="480060" cy="2715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77</xdr:row>
      <xdr:rowOff>0</xdr:rowOff>
    </xdr:from>
    <xdr:to>
      <xdr:col>11</xdr:col>
      <xdr:colOff>487680</xdr:colOff>
      <xdr:row>78</xdr:row>
      <xdr:rowOff>91440</xdr:rowOff>
    </xdr:to>
    <xdr:pic>
      <xdr:nvPicPr>
        <xdr:cNvPr id="18" name="Imagen 19"/>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31273" y="13674436"/>
          <a:ext cx="487680" cy="2715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373380</xdr:colOff>
      <xdr:row>79</xdr:row>
      <xdr:rowOff>99060</xdr:rowOff>
    </xdr:from>
    <xdr:to>
      <xdr:col>12</xdr:col>
      <xdr:colOff>1303020</xdr:colOff>
      <xdr:row>81</xdr:row>
      <xdr:rowOff>45720</xdr:rowOff>
    </xdr:to>
    <xdr:pic>
      <xdr:nvPicPr>
        <xdr:cNvPr id="19" name="Imagen 9"/>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94362" y="14133715"/>
          <a:ext cx="632460" cy="306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14</xdr:col>
      <xdr:colOff>90747</xdr:colOff>
      <xdr:row>81</xdr:row>
      <xdr:rowOff>69273</xdr:rowOff>
    </xdr:from>
    <xdr:ext cx="2101042" cy="1352203"/>
    <xdr:pic>
      <xdr:nvPicPr>
        <xdr:cNvPr id="20" name="Imagen 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291656" y="14644255"/>
          <a:ext cx="2101042" cy="13522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17</xdr:col>
      <xdr:colOff>762000</xdr:colOff>
      <xdr:row>27</xdr:row>
      <xdr:rowOff>48491</xdr:rowOff>
    </xdr:from>
    <xdr:to>
      <xdr:col>23</xdr:col>
      <xdr:colOff>595745</xdr:colOff>
      <xdr:row>42</xdr:row>
      <xdr:rowOff>90054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110836</xdr:colOff>
      <xdr:row>27</xdr:row>
      <xdr:rowOff>62346</xdr:rowOff>
    </xdr:from>
    <xdr:to>
      <xdr:col>29</xdr:col>
      <xdr:colOff>734290</xdr:colOff>
      <xdr:row>42</xdr:row>
      <xdr:rowOff>103909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55418</xdr:colOff>
      <xdr:row>45</xdr:row>
      <xdr:rowOff>20782</xdr:rowOff>
    </xdr:from>
    <xdr:to>
      <xdr:col>23</xdr:col>
      <xdr:colOff>678873</xdr:colOff>
      <xdr:row>60</xdr:row>
      <xdr:rowOff>62346</xdr:rowOff>
    </xdr:to>
    <xdr:graphicFrame macro="">
      <xdr:nvGraphicFramePr>
        <xdr:cNvPr id="21" name="Gráfico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152401</xdr:colOff>
      <xdr:row>45</xdr:row>
      <xdr:rowOff>76200</xdr:rowOff>
    </xdr:from>
    <xdr:to>
      <xdr:col>29</xdr:col>
      <xdr:colOff>775855</xdr:colOff>
      <xdr:row>60</xdr:row>
      <xdr:rowOff>117764</xdr:rowOff>
    </xdr:to>
    <xdr:graphicFrame macro="">
      <xdr:nvGraphicFramePr>
        <xdr:cNvPr id="22" name="Gráfico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205740</xdr:colOff>
      <xdr:row>71</xdr:row>
      <xdr:rowOff>83820</xdr:rowOff>
    </xdr:from>
    <xdr:to>
      <xdr:col>7</xdr:col>
      <xdr:colOff>1303020</xdr:colOff>
      <xdr:row>73</xdr:row>
      <xdr:rowOff>106680</xdr:rowOff>
    </xdr:to>
    <xdr:pic>
      <xdr:nvPicPr>
        <xdr:cNvPr id="23" name="Imagen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26722" y="12857711"/>
          <a:ext cx="800100" cy="383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74</xdr:row>
      <xdr:rowOff>0</xdr:rowOff>
    </xdr:from>
    <xdr:to>
      <xdr:col>6</xdr:col>
      <xdr:colOff>480060</xdr:colOff>
      <xdr:row>75</xdr:row>
      <xdr:rowOff>91440</xdr:rowOff>
    </xdr:to>
    <xdr:pic>
      <xdr:nvPicPr>
        <xdr:cNvPr id="24" name="Imagen 1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31273" y="13314218"/>
          <a:ext cx="480060" cy="2715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76</xdr:row>
      <xdr:rowOff>0</xdr:rowOff>
    </xdr:from>
    <xdr:to>
      <xdr:col>6</xdr:col>
      <xdr:colOff>487680</xdr:colOff>
      <xdr:row>77</xdr:row>
      <xdr:rowOff>91440</xdr:rowOff>
    </xdr:to>
    <xdr:pic>
      <xdr:nvPicPr>
        <xdr:cNvPr id="25" name="Imagen 19"/>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31273" y="13674436"/>
          <a:ext cx="487680" cy="2715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373380</xdr:colOff>
      <xdr:row>78</xdr:row>
      <xdr:rowOff>99060</xdr:rowOff>
    </xdr:from>
    <xdr:to>
      <xdr:col>7</xdr:col>
      <xdr:colOff>1303020</xdr:colOff>
      <xdr:row>80</xdr:row>
      <xdr:rowOff>45720</xdr:rowOff>
    </xdr:to>
    <xdr:pic>
      <xdr:nvPicPr>
        <xdr:cNvPr id="26" name="Imagen 9"/>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94362" y="14133715"/>
          <a:ext cx="632460" cy="306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205740</xdr:colOff>
      <xdr:row>72</xdr:row>
      <xdr:rowOff>83820</xdr:rowOff>
    </xdr:from>
    <xdr:to>
      <xdr:col>19</xdr:col>
      <xdr:colOff>1303020</xdr:colOff>
      <xdr:row>74</xdr:row>
      <xdr:rowOff>106680</xdr:rowOff>
    </xdr:to>
    <xdr:pic>
      <xdr:nvPicPr>
        <xdr:cNvPr id="27" name="Imagen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823267" y="12857711"/>
          <a:ext cx="586740" cy="383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0</xdr:colOff>
      <xdr:row>75</xdr:row>
      <xdr:rowOff>0</xdr:rowOff>
    </xdr:from>
    <xdr:to>
      <xdr:col>18</xdr:col>
      <xdr:colOff>480060</xdr:colOff>
      <xdr:row>76</xdr:row>
      <xdr:rowOff>91440</xdr:rowOff>
    </xdr:to>
    <xdr:pic>
      <xdr:nvPicPr>
        <xdr:cNvPr id="28" name="Imagen 1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204364" y="13314218"/>
          <a:ext cx="480060" cy="2715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0</xdr:colOff>
      <xdr:row>77</xdr:row>
      <xdr:rowOff>0</xdr:rowOff>
    </xdr:from>
    <xdr:to>
      <xdr:col>18</xdr:col>
      <xdr:colOff>487680</xdr:colOff>
      <xdr:row>78</xdr:row>
      <xdr:rowOff>91440</xdr:rowOff>
    </xdr:to>
    <xdr:pic>
      <xdr:nvPicPr>
        <xdr:cNvPr id="29" name="Imagen 19"/>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204364" y="13674436"/>
          <a:ext cx="487680" cy="2715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373380</xdr:colOff>
      <xdr:row>79</xdr:row>
      <xdr:rowOff>99060</xdr:rowOff>
    </xdr:from>
    <xdr:to>
      <xdr:col>19</xdr:col>
      <xdr:colOff>1303020</xdr:colOff>
      <xdr:row>81</xdr:row>
      <xdr:rowOff>45720</xdr:rowOff>
    </xdr:to>
    <xdr:pic>
      <xdr:nvPicPr>
        <xdr:cNvPr id="30" name="Imagen 9"/>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990907" y="14133715"/>
          <a:ext cx="419100" cy="306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121</xdr:row>
      <xdr:rowOff>0</xdr:rowOff>
    </xdr:from>
    <xdr:to>
      <xdr:col>22</xdr:col>
      <xdr:colOff>371787</xdr:colOff>
      <xdr:row>175</xdr:row>
      <xdr:rowOff>178871</xdr:rowOff>
    </xdr:to>
    <xdr:pic>
      <xdr:nvPicPr>
        <xdr:cNvPr id="3" name="Imagen 2"/>
        <xdr:cNvPicPr>
          <a:picLocks noChangeAspect="1"/>
        </xdr:cNvPicPr>
      </xdr:nvPicPr>
      <xdr:blipFill>
        <a:blip xmlns:r="http://schemas.openxmlformats.org/officeDocument/2006/relationships" r:embed="rId12"/>
        <a:stretch>
          <a:fillRect/>
        </a:stretch>
      </xdr:blipFill>
      <xdr:spPr>
        <a:xfrm>
          <a:off x="2632364" y="21779345"/>
          <a:ext cx="18285714" cy="9904762"/>
        </a:xfrm>
        <a:prstGeom prst="rect">
          <a:avLst/>
        </a:prstGeom>
      </xdr:spPr>
    </xdr:pic>
    <xdr:clientData/>
  </xdr:twoCellAnchor>
  <xdr:twoCellAnchor editAs="oneCell">
    <xdr:from>
      <xdr:col>25</xdr:col>
      <xdr:colOff>0</xdr:colOff>
      <xdr:row>123</xdr:row>
      <xdr:rowOff>0</xdr:rowOff>
    </xdr:from>
    <xdr:to>
      <xdr:col>48</xdr:col>
      <xdr:colOff>122405</xdr:colOff>
      <xdr:row>177</xdr:row>
      <xdr:rowOff>178871</xdr:rowOff>
    </xdr:to>
    <xdr:pic>
      <xdr:nvPicPr>
        <xdr:cNvPr id="5" name="Imagen 4"/>
        <xdr:cNvPicPr>
          <a:picLocks noChangeAspect="1"/>
        </xdr:cNvPicPr>
      </xdr:nvPicPr>
      <xdr:blipFill>
        <a:blip xmlns:r="http://schemas.openxmlformats.org/officeDocument/2006/relationships" r:embed="rId13"/>
        <a:stretch>
          <a:fillRect/>
        </a:stretch>
      </xdr:blipFill>
      <xdr:spPr>
        <a:xfrm>
          <a:off x="22915418" y="22139564"/>
          <a:ext cx="18285714" cy="9904762"/>
        </a:xfrm>
        <a:prstGeom prst="rect">
          <a:avLst/>
        </a:prstGeom>
      </xdr:spPr>
    </xdr:pic>
    <xdr:clientData/>
  </xdr:twoCellAnchor>
  <xdr:twoCellAnchor>
    <xdr:from>
      <xdr:col>14</xdr:col>
      <xdr:colOff>27709</xdr:colOff>
      <xdr:row>93</xdr:row>
      <xdr:rowOff>62346</xdr:rowOff>
    </xdr:from>
    <xdr:to>
      <xdr:col>19</xdr:col>
      <xdr:colOff>623454</xdr:colOff>
      <xdr:row>108</xdr:row>
      <xdr:rowOff>103910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0</xdr:colOff>
      <xdr:row>185</xdr:row>
      <xdr:rowOff>0</xdr:rowOff>
    </xdr:from>
    <xdr:to>
      <xdr:col>33</xdr:col>
      <xdr:colOff>39278</xdr:colOff>
      <xdr:row>239</xdr:row>
      <xdr:rowOff>178871</xdr:rowOff>
    </xdr:to>
    <xdr:pic>
      <xdr:nvPicPr>
        <xdr:cNvPr id="7" name="Imagen 6"/>
        <xdr:cNvPicPr>
          <a:picLocks noChangeAspect="1"/>
        </xdr:cNvPicPr>
      </xdr:nvPicPr>
      <xdr:blipFill>
        <a:blip xmlns:r="http://schemas.openxmlformats.org/officeDocument/2006/relationships" r:embed="rId15"/>
        <a:stretch>
          <a:fillRect/>
        </a:stretch>
      </xdr:blipFill>
      <xdr:spPr>
        <a:xfrm>
          <a:off x="10986655" y="33306327"/>
          <a:ext cx="18285714" cy="9904762"/>
        </a:xfrm>
        <a:prstGeom prst="rect">
          <a:avLst/>
        </a:prstGeom>
      </xdr:spPr>
    </xdr:pic>
    <xdr:clientData/>
  </xdr:twoCellAnchor>
  <xdr:twoCellAnchor editAs="oneCell">
    <xdr:from>
      <xdr:col>27</xdr:col>
      <xdr:colOff>0</xdr:colOff>
      <xdr:row>72</xdr:row>
      <xdr:rowOff>0</xdr:rowOff>
    </xdr:from>
    <xdr:to>
      <xdr:col>50</xdr:col>
      <xdr:colOff>122405</xdr:colOff>
      <xdr:row>126</xdr:row>
      <xdr:rowOff>178871</xdr:rowOff>
    </xdr:to>
    <xdr:pic>
      <xdr:nvPicPr>
        <xdr:cNvPr id="8" name="Imagen 7"/>
        <xdr:cNvPicPr>
          <a:picLocks noChangeAspect="1"/>
        </xdr:cNvPicPr>
      </xdr:nvPicPr>
      <xdr:blipFill>
        <a:blip xmlns:r="http://schemas.openxmlformats.org/officeDocument/2006/relationships" r:embed="rId16"/>
        <a:stretch>
          <a:fillRect/>
        </a:stretch>
      </xdr:blipFill>
      <xdr:spPr>
        <a:xfrm>
          <a:off x="24494836" y="12954000"/>
          <a:ext cx="18285714" cy="9904762"/>
        </a:xfrm>
        <a:prstGeom prst="rect">
          <a:avLst/>
        </a:prstGeom>
      </xdr:spPr>
    </xdr:pic>
    <xdr:clientData/>
  </xdr:twoCellAnchor>
</xdr:wsDr>
</file>

<file path=xl/tables/table1.xml><?xml version="1.0" encoding="utf-8"?>
<table xmlns="http://schemas.openxmlformats.org/spreadsheetml/2006/main" id="1" name="Tabla2" displayName="Tabla2" ref="A1:G15" totalsRowShown="0">
  <autoFilter ref="A1:G15"/>
  <tableColumns count="7">
    <tableColumn id="1" name="Time (days)"/>
    <tableColumn id="2" name="German"/>
    <tableColumn id="3" name="Soviet"/>
    <tableColumn id="4" name="German reinforces and withdrawal"/>
    <tableColumn id="5" name="Soviet reinforces and withdrawal"/>
    <tableColumn id="6" name="Casualties German"/>
    <tableColumn id="7" name="Casualties Soviet"/>
  </tableColumns>
  <tableStyleInfo name="TableStyleLight8" showFirstColumn="0" showLastColumn="0" showRowStripes="1" showColumnStripes="0"/>
</table>
</file>

<file path=xl/tables/table2.xml><?xml version="1.0" encoding="utf-8"?>
<table xmlns="http://schemas.openxmlformats.org/spreadsheetml/2006/main" id="2" name="Tabla3" displayName="Tabla3" ref="A1:G15" totalsRowShown="0" headerRowDxfId="1">
  <autoFilter ref="A1:G15"/>
  <tableColumns count="7">
    <tableColumn id="1" name="In the biginning"/>
    <tableColumn id="2" name="Soviet troops"/>
    <tableColumn id="3" name="German troops"/>
    <tableColumn id="4" name="Soviet reinforcements">
      <calculatedColumnFormula>-(B1-F1)+Tabla2[[#This Row],[Soviet]]</calculatedColumnFormula>
    </tableColumn>
    <tableColumn id="5" name="German reinforcement">
      <calculatedColumnFormula>-(C1-G1)+Tabla2[[#This Row],[German]]</calculatedColumnFormula>
    </tableColumn>
    <tableColumn id="6" name="German casualties"/>
    <tableColumn id="7" name="Soviet casualties"/>
  </tableColumns>
  <tableStyleInfo name="TableStyleLight8" showFirstColumn="0" showLastColumn="0" showRowStripes="1" showColumnStripes="0"/>
</table>
</file>

<file path=xl/tables/table3.xml><?xml version="1.0" encoding="utf-8"?>
<table xmlns="http://schemas.openxmlformats.org/spreadsheetml/2006/main" id="3" name="Tabla173" displayName="Tabla173" ref="H24:L38" totalsRowShown="0">
  <autoFilter ref="H24:L38"/>
  <tableColumns count="5">
    <tableColumn id="1" name="(X-Xestimado)^2">
      <calculatedColumnFormula>(H2-J2)^2</calculatedColumnFormula>
    </tableColumn>
    <tableColumn id="2" name="(Y-Yestimado)^2">
      <calculatedColumnFormula>(I2-K2)^2</calculatedColumnFormula>
    </tableColumn>
    <tableColumn id="3" name="Columna1"/>
    <tableColumn id="4" name="(X-Xmedia)^2">
      <calculatedColumnFormula>(H2-P17)^2</calculatedColumnFormula>
    </tableColumn>
    <tableColumn id="5" name="(Y-Ymedia)^2">
      <calculatedColumnFormula>(I2-P18)^2</calculatedColumnFormula>
    </tableColumn>
  </tableColumns>
  <tableStyleInfo name="TableStyleMedium1" showFirstColumn="0" showLastColumn="0" showRowStripes="1" showColumnStripes="0"/>
</table>
</file>

<file path=xl/tables/table4.xml><?xml version="1.0" encoding="utf-8"?>
<table xmlns="http://schemas.openxmlformats.org/spreadsheetml/2006/main" id="4" name="Tabla4" displayName="Tabla4" ref="E97:G101" totalsRowShown="0">
  <autoFilter ref="E97:G101"/>
  <tableColumns count="3">
    <tableColumn id="1" name="Iteration"/>
    <tableColumn id="2" name="v"/>
    <tableColumn id="3" name="WinsDef"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F1" sqref="F1:G15"/>
    </sheetView>
  </sheetViews>
  <sheetFormatPr baseColWidth="10" defaultRowHeight="14.4" x14ac:dyDescent="0.3"/>
  <cols>
    <col min="2" max="2" width="20.88671875" customWidth="1"/>
    <col min="3" max="3" width="20.5546875" customWidth="1"/>
    <col min="4" max="4" width="45.21875" customWidth="1"/>
    <col min="5" max="5" width="38.44140625" customWidth="1"/>
    <col min="6" max="6" width="23.88671875" customWidth="1"/>
    <col min="7" max="7" width="26.6640625" customWidth="1"/>
  </cols>
  <sheetData>
    <row r="1" spans="1:16" x14ac:dyDescent="0.3">
      <c r="A1" t="s">
        <v>0</v>
      </c>
      <c r="B1" t="s">
        <v>1</v>
      </c>
      <c r="C1" t="s">
        <v>2</v>
      </c>
      <c r="D1" t="s">
        <v>5</v>
      </c>
      <c r="E1" t="s">
        <v>6</v>
      </c>
      <c r="F1" t="s">
        <v>3</v>
      </c>
      <c r="G1" t="s">
        <v>4</v>
      </c>
      <c r="J1" s="3" t="s">
        <v>7</v>
      </c>
      <c r="K1" s="3" t="s">
        <v>8</v>
      </c>
      <c r="L1" s="3" t="s">
        <v>9</v>
      </c>
      <c r="M1" s="3" t="s">
        <v>10</v>
      </c>
      <c r="N1" s="3" t="s">
        <v>11</v>
      </c>
      <c r="O1" s="3" t="s">
        <v>12</v>
      </c>
      <c r="P1" s="3" t="s">
        <v>13</v>
      </c>
    </row>
    <row r="2" spans="1:16" x14ac:dyDescent="0.3">
      <c r="A2">
        <v>1</v>
      </c>
      <c r="B2">
        <v>247866</v>
      </c>
      <c r="C2">
        <v>84783</v>
      </c>
      <c r="D2">
        <v>0</v>
      </c>
      <c r="E2">
        <v>0</v>
      </c>
      <c r="F2">
        <v>5863</v>
      </c>
      <c r="G2">
        <v>8268</v>
      </c>
      <c r="J2" s="1">
        <v>84783</v>
      </c>
      <c r="K2" s="1">
        <v>247866</v>
      </c>
      <c r="L2" s="5">
        <v>0</v>
      </c>
      <c r="M2" s="5">
        <v>21.5</v>
      </c>
      <c r="N2" s="5"/>
      <c r="O2" s="5"/>
      <c r="P2" s="5"/>
    </row>
    <row r="3" spans="1:16" x14ac:dyDescent="0.3">
      <c r="A3">
        <v>2</v>
      </c>
      <c r="B3">
        <v>261368</v>
      </c>
      <c r="C3">
        <v>141589</v>
      </c>
      <c r="D3">
        <f>-(B2-F2)+Tabla2[[#This Row],[German]]</f>
        <v>19365</v>
      </c>
      <c r="E3">
        <f>-(C2-G2)+Tabla2[[#This Row],[Soviet]]</f>
        <v>65074</v>
      </c>
      <c r="F3">
        <v>3604</v>
      </c>
      <c r="G3">
        <v>8888</v>
      </c>
      <c r="J3" s="1">
        <v>141589</v>
      </c>
      <c r="K3" s="1">
        <v>261368</v>
      </c>
      <c r="L3" s="5">
        <v>0</v>
      </c>
      <c r="M3" s="5">
        <v>21.5</v>
      </c>
      <c r="N3" s="5">
        <f>J3-L3</f>
        <v>141589</v>
      </c>
      <c r="O3" s="5">
        <f>K3-M3</f>
        <v>261346.5</v>
      </c>
      <c r="P3" s="5">
        <f>N3*N3+O3*O3</f>
        <v>88349437983.25</v>
      </c>
    </row>
    <row r="4" spans="1:16" x14ac:dyDescent="0.3">
      <c r="A4">
        <v>3</v>
      </c>
      <c r="B4">
        <v>211212</v>
      </c>
      <c r="C4">
        <v>163378</v>
      </c>
      <c r="D4">
        <f>-(B3-F3)+Tabla2[[#This Row],[German]]</f>
        <v>-46552</v>
      </c>
      <c r="E4">
        <f>-(C3-G3)+Tabla2[[#This Row],[Soviet]]</f>
        <v>30677</v>
      </c>
      <c r="F4">
        <v>3047</v>
      </c>
      <c r="G4">
        <v>8898</v>
      </c>
      <c r="J4" s="1">
        <v>163378</v>
      </c>
      <c r="K4" s="1">
        <v>211212</v>
      </c>
      <c r="L4" s="5">
        <v>0</v>
      </c>
      <c r="M4" s="5">
        <v>21.5</v>
      </c>
      <c r="N4" s="5">
        <f>J4-L4</f>
        <v>163378</v>
      </c>
      <c r="O4" s="5">
        <f t="shared" ref="O4:O16" si="0">K4-M4</f>
        <v>211190.5</v>
      </c>
      <c r="P4" s="5">
        <f>N4*N4+O4*O4</f>
        <v>71293798174.25</v>
      </c>
    </row>
    <row r="5" spans="1:16" x14ac:dyDescent="0.3">
      <c r="A5">
        <v>4</v>
      </c>
      <c r="B5">
        <v>227314</v>
      </c>
      <c r="C5">
        <v>145875</v>
      </c>
      <c r="D5">
        <f>-(B4-F4)+Tabla2[[#This Row],[German]]</f>
        <v>19149</v>
      </c>
      <c r="E5">
        <f>-(C4-G4)+Tabla2[[#This Row],[Soviet]]</f>
        <v>-8605</v>
      </c>
      <c r="F5">
        <v>2744</v>
      </c>
      <c r="G5">
        <v>7534</v>
      </c>
      <c r="J5" s="1">
        <v>145875</v>
      </c>
      <c r="K5" s="1">
        <v>227314</v>
      </c>
      <c r="L5" s="5">
        <v>27</v>
      </c>
      <c r="M5" s="5">
        <v>21.5</v>
      </c>
      <c r="N5" s="5">
        <f>J5-L5</f>
        <v>145848</v>
      </c>
      <c r="O5" s="5">
        <f t="shared" si="0"/>
        <v>227292.5</v>
      </c>
      <c r="P5" s="5">
        <f t="shared" ref="P5:P16" si="1">N5*N5+O5*O5</f>
        <v>72933519660.25</v>
      </c>
    </row>
    <row r="6" spans="1:16" x14ac:dyDescent="0.3">
      <c r="A6">
        <v>5</v>
      </c>
      <c r="B6">
        <v>224664</v>
      </c>
      <c r="C6">
        <v>179607</v>
      </c>
      <c r="D6">
        <f>-(B5-F5)+Tabla2[[#This Row],[German]]</f>
        <v>94</v>
      </c>
      <c r="E6">
        <f>-(C5-G5)+Tabla2[[#This Row],[Soviet]]</f>
        <v>41266</v>
      </c>
      <c r="F6">
        <v>2623</v>
      </c>
      <c r="G6">
        <v>8608</v>
      </c>
      <c r="J6" s="1">
        <v>179607</v>
      </c>
      <c r="K6" s="1">
        <v>224664</v>
      </c>
      <c r="L6" s="5" t="e">
        <f>L5-$R$1*($R$3*(M5^$P$1)*(L5^$P$2))+F5/2</f>
        <v>#VALUE!</v>
      </c>
      <c r="M6" s="5" t="e">
        <f>M5-$R$2*($R$3*(L5^$P$1)*(M5^$P$2))</f>
        <v>#VALUE!</v>
      </c>
      <c r="N6" s="5" t="e">
        <f>J6-L6</f>
        <v>#VALUE!</v>
      </c>
      <c r="O6" s="5" t="e">
        <f t="shared" si="0"/>
        <v>#VALUE!</v>
      </c>
      <c r="P6" s="5" t="e">
        <f t="shared" si="1"/>
        <v>#VALUE!</v>
      </c>
    </row>
    <row r="7" spans="1:16" x14ac:dyDescent="0.3">
      <c r="A7">
        <v>6</v>
      </c>
      <c r="B7">
        <v>200686</v>
      </c>
      <c r="C7">
        <v>166526</v>
      </c>
      <c r="D7">
        <f>-(B6-F6)+Tabla2[[#This Row],[German]]</f>
        <v>-21355</v>
      </c>
      <c r="E7">
        <f>-(C6-G6)+Tabla2[[#This Row],[Soviet]]</f>
        <v>-4473</v>
      </c>
      <c r="F7">
        <v>1848</v>
      </c>
      <c r="G7">
        <v>8138</v>
      </c>
      <c r="J7" s="1">
        <v>166526</v>
      </c>
      <c r="K7" s="1">
        <v>200686</v>
      </c>
      <c r="L7" s="5" t="e">
        <f>L6-$R$1*($R$3*(M6^$P$1)*(L6^$P$2))+F6/2</f>
        <v>#VALUE!</v>
      </c>
      <c r="M7" s="5" t="e">
        <f t="shared" ref="M7:M16" si="2">M6-$R$2*($R$3*(L6^$P$1)*(M6^$P$2))</f>
        <v>#VALUE!</v>
      </c>
      <c r="N7" s="5" t="e">
        <f t="shared" ref="N7:N16" si="3">J7-L7</f>
        <v>#VALUE!</v>
      </c>
      <c r="O7" s="5" t="e">
        <f t="shared" si="0"/>
        <v>#VALUE!</v>
      </c>
      <c r="P7" s="5" t="e">
        <f t="shared" si="1"/>
        <v>#VALUE!</v>
      </c>
    </row>
    <row r="8" spans="1:16" x14ac:dyDescent="0.3">
      <c r="A8">
        <v>7</v>
      </c>
      <c r="B8">
        <v>232938</v>
      </c>
      <c r="C8">
        <v>219343</v>
      </c>
      <c r="D8">
        <f>-(B7-F7)+Tabla2[[#This Row],[German]]</f>
        <v>34100</v>
      </c>
      <c r="E8">
        <f>-(C7-G7)+Tabla2[[#This Row],[Soviet]]</f>
        <v>60955</v>
      </c>
      <c r="F8">
        <v>2360</v>
      </c>
      <c r="G8">
        <v>6634</v>
      </c>
      <c r="J8" s="1">
        <v>219343</v>
      </c>
      <c r="K8" s="1">
        <v>232938</v>
      </c>
      <c r="L8" s="5" t="e">
        <f t="shared" ref="L8:L16" si="4">L7-$R$1*($R$3*(M7^$P$1)*(L7^$P$2))+F7/2</f>
        <v>#VALUE!</v>
      </c>
      <c r="M8" s="5" t="e">
        <f t="shared" si="2"/>
        <v>#VALUE!</v>
      </c>
      <c r="N8" s="5" t="e">
        <f t="shared" si="3"/>
        <v>#VALUE!</v>
      </c>
      <c r="O8" s="5" t="e">
        <f t="shared" si="0"/>
        <v>#VALUE!</v>
      </c>
      <c r="P8" s="5" t="e">
        <f t="shared" si="1"/>
        <v>#VALUE!</v>
      </c>
    </row>
    <row r="9" spans="1:16" x14ac:dyDescent="0.3">
      <c r="A9">
        <v>8</v>
      </c>
      <c r="B9">
        <v>262920</v>
      </c>
      <c r="C9">
        <v>252844</v>
      </c>
      <c r="D9">
        <f>-(B8-F8)+Tabla2[[#This Row],[German]]</f>
        <v>32342</v>
      </c>
      <c r="E9">
        <f>-(C8-G8)+Tabla2[[#This Row],[Soviet]]</f>
        <v>40135</v>
      </c>
      <c r="F9">
        <v>2575</v>
      </c>
      <c r="G9">
        <v>18072</v>
      </c>
      <c r="J9" s="1">
        <v>252844</v>
      </c>
      <c r="K9" s="1">
        <v>262920</v>
      </c>
      <c r="L9" s="5" t="e">
        <f t="shared" si="4"/>
        <v>#VALUE!</v>
      </c>
      <c r="M9" s="5" t="e">
        <f t="shared" si="2"/>
        <v>#VALUE!</v>
      </c>
      <c r="N9" s="5" t="e">
        <f t="shared" si="3"/>
        <v>#VALUE!</v>
      </c>
      <c r="O9" s="5" t="e">
        <f t="shared" si="0"/>
        <v>#VALUE!</v>
      </c>
      <c r="P9" s="5" t="e">
        <f t="shared" si="1"/>
        <v>#VALUE!</v>
      </c>
    </row>
    <row r="10" spans="1:16" x14ac:dyDescent="0.3">
      <c r="A10">
        <v>9</v>
      </c>
      <c r="B10">
        <v>279697</v>
      </c>
      <c r="C10">
        <v>175121</v>
      </c>
      <c r="D10">
        <f>-(B9-F9)+Tabla2[[#This Row],[German]]</f>
        <v>19352</v>
      </c>
      <c r="E10">
        <f>-(C9-G9)+Tabla2[[#This Row],[Soviet]]</f>
        <v>-59651</v>
      </c>
      <c r="F10">
        <v>2031</v>
      </c>
      <c r="G10">
        <v>8688</v>
      </c>
      <c r="J10" s="1">
        <v>175121</v>
      </c>
      <c r="K10" s="1">
        <v>279697</v>
      </c>
      <c r="L10" s="5" t="e">
        <f t="shared" si="4"/>
        <v>#VALUE!</v>
      </c>
      <c r="M10" s="5" t="e">
        <f t="shared" si="2"/>
        <v>#VALUE!</v>
      </c>
      <c r="N10" s="5" t="e">
        <f t="shared" si="3"/>
        <v>#VALUE!</v>
      </c>
      <c r="O10" s="5" t="e">
        <f t="shared" si="0"/>
        <v>#VALUE!</v>
      </c>
      <c r="P10" s="5" t="e">
        <f t="shared" si="1"/>
        <v>#VALUE!</v>
      </c>
    </row>
    <row r="11" spans="1:16" x14ac:dyDescent="0.3">
      <c r="A11">
        <v>10</v>
      </c>
      <c r="B11">
        <v>208498</v>
      </c>
      <c r="C11">
        <v>206465</v>
      </c>
      <c r="D11">
        <f>-(B10-F10)+Tabla2[[#This Row],[German]]</f>
        <v>-69168</v>
      </c>
      <c r="E11">
        <f>-(C10-G10)+Tabla2[[#This Row],[Soviet]]</f>
        <v>40032</v>
      </c>
      <c r="F11">
        <v>1677</v>
      </c>
      <c r="G11">
        <v>6148</v>
      </c>
      <c r="J11" s="1">
        <v>206465</v>
      </c>
      <c r="K11" s="1">
        <v>208498</v>
      </c>
      <c r="L11" s="5" t="e">
        <f t="shared" si="4"/>
        <v>#VALUE!</v>
      </c>
      <c r="M11" s="5" t="e">
        <f t="shared" si="2"/>
        <v>#VALUE!</v>
      </c>
      <c r="N11" s="5" t="e">
        <f t="shared" si="3"/>
        <v>#VALUE!</v>
      </c>
      <c r="O11" s="5" t="e">
        <f t="shared" si="0"/>
        <v>#VALUE!</v>
      </c>
      <c r="P11" s="5" t="e">
        <f t="shared" si="1"/>
        <v>#VALUE!</v>
      </c>
    </row>
    <row r="12" spans="1:16" x14ac:dyDescent="0.3">
      <c r="A12">
        <v>11</v>
      </c>
      <c r="B12">
        <v>226075</v>
      </c>
      <c r="C12">
        <v>89898</v>
      </c>
      <c r="D12">
        <f>-(B11-F11)+Tabla2[[#This Row],[German]]</f>
        <v>19254</v>
      </c>
      <c r="E12">
        <f>-(C11-G11)+Tabla2[[#This Row],[Soviet]]</f>
        <v>-110419</v>
      </c>
      <c r="F12">
        <v>1064</v>
      </c>
      <c r="G12">
        <v>2472</v>
      </c>
      <c r="J12" s="1">
        <v>89898</v>
      </c>
      <c r="K12" s="1">
        <v>226075</v>
      </c>
      <c r="L12" s="5" t="e">
        <f t="shared" si="4"/>
        <v>#VALUE!</v>
      </c>
      <c r="M12" s="5" t="e">
        <f t="shared" si="2"/>
        <v>#VALUE!</v>
      </c>
      <c r="N12" s="5" t="e">
        <f t="shared" si="3"/>
        <v>#VALUE!</v>
      </c>
      <c r="O12" s="5" t="e">
        <f t="shared" si="0"/>
        <v>#VALUE!</v>
      </c>
      <c r="P12" s="5" t="e">
        <f t="shared" si="1"/>
        <v>#VALUE!</v>
      </c>
    </row>
    <row r="13" spans="1:16" x14ac:dyDescent="0.3">
      <c r="A13">
        <v>12</v>
      </c>
      <c r="B13">
        <v>131800</v>
      </c>
      <c r="C13">
        <v>87769</v>
      </c>
      <c r="D13">
        <f>-(B12-F12)+Tabla2[[#This Row],[German]]</f>
        <v>-93211</v>
      </c>
      <c r="E13">
        <f>-(C12-G12)+Tabla2[[#This Row],[Soviet]]</f>
        <v>343</v>
      </c>
      <c r="F13">
        <v>469</v>
      </c>
      <c r="G13">
        <v>2114</v>
      </c>
      <c r="J13" s="1">
        <v>87769</v>
      </c>
      <c r="K13" s="1">
        <v>131800</v>
      </c>
      <c r="L13" s="5" t="e">
        <f t="shared" si="4"/>
        <v>#VALUE!</v>
      </c>
      <c r="M13" s="5" t="e">
        <f t="shared" si="2"/>
        <v>#VALUE!</v>
      </c>
      <c r="N13" s="5" t="e">
        <f t="shared" si="3"/>
        <v>#VALUE!</v>
      </c>
      <c r="O13" s="5" t="e">
        <f t="shared" si="0"/>
        <v>#VALUE!</v>
      </c>
      <c r="P13" s="5" t="e">
        <f t="shared" si="1"/>
        <v>#VALUE!</v>
      </c>
    </row>
    <row r="14" spans="1:16" x14ac:dyDescent="0.3">
      <c r="A14">
        <v>13</v>
      </c>
      <c r="B14">
        <v>149438</v>
      </c>
      <c r="C14">
        <v>37981</v>
      </c>
      <c r="D14">
        <f>-(B13-F13)+Tabla2[[#This Row],[German]]</f>
        <v>18107</v>
      </c>
      <c r="E14">
        <f>-(C13-G13)+Tabla2[[#This Row],[Soviet]]</f>
        <v>-47674</v>
      </c>
      <c r="F14">
        <v>495</v>
      </c>
      <c r="G14">
        <v>457</v>
      </c>
      <c r="J14" s="1">
        <v>37981</v>
      </c>
      <c r="K14" s="1">
        <v>149438</v>
      </c>
      <c r="L14" s="5" t="e">
        <f t="shared" si="4"/>
        <v>#VALUE!</v>
      </c>
      <c r="M14" s="5" t="e">
        <f t="shared" si="2"/>
        <v>#VALUE!</v>
      </c>
      <c r="N14" s="5" t="e">
        <f t="shared" si="3"/>
        <v>#VALUE!</v>
      </c>
      <c r="O14" s="5" t="e">
        <f t="shared" si="0"/>
        <v>#VALUE!</v>
      </c>
      <c r="P14" s="5" t="e">
        <f t="shared" si="1"/>
        <v>#VALUE!</v>
      </c>
    </row>
    <row r="15" spans="1:16" x14ac:dyDescent="0.3">
      <c r="A15">
        <v>14</v>
      </c>
      <c r="B15">
        <v>188079</v>
      </c>
      <c r="C15">
        <v>119346</v>
      </c>
      <c r="D15">
        <f>-(B14-F14)+Tabla2[[#This Row],[German]]</f>
        <v>39136</v>
      </c>
      <c r="E15">
        <f>-(C14-G14)+Tabla2[[#This Row],[Soviet]]</f>
        <v>81822</v>
      </c>
      <c r="F15">
        <v>807</v>
      </c>
      <c r="G15">
        <v>2404</v>
      </c>
      <c r="J15" s="2">
        <v>119346</v>
      </c>
      <c r="K15" s="2">
        <v>188079</v>
      </c>
      <c r="L15" s="5" t="e">
        <f t="shared" si="4"/>
        <v>#VALUE!</v>
      </c>
      <c r="M15" s="5" t="e">
        <f t="shared" si="2"/>
        <v>#VALUE!</v>
      </c>
      <c r="N15" s="5" t="e">
        <f t="shared" si="3"/>
        <v>#VALUE!</v>
      </c>
      <c r="O15" s="5" t="e">
        <f t="shared" si="0"/>
        <v>#VALUE!</v>
      </c>
      <c r="P15" s="5" t="e">
        <f t="shared" si="1"/>
        <v>#VALUE!</v>
      </c>
    </row>
    <row r="16" spans="1:16" x14ac:dyDescent="0.3">
      <c r="J16" s="4"/>
      <c r="K16" s="4"/>
      <c r="L16" s="5" t="e">
        <f t="shared" si="4"/>
        <v>#VALUE!</v>
      </c>
      <c r="M16" s="5" t="e">
        <f t="shared" si="2"/>
        <v>#VALUE!</v>
      </c>
      <c r="N16" s="5" t="e">
        <f t="shared" si="3"/>
        <v>#VALUE!</v>
      </c>
      <c r="O16" s="5" t="e">
        <f t="shared" si="0"/>
        <v>#VALUE!</v>
      </c>
      <c r="P16" s="5" t="e">
        <f t="shared" si="1"/>
        <v>#VALUE!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abSelected="1" topLeftCell="A58" zoomScale="85" zoomScaleNormal="85" workbookViewId="0">
      <selection activeCell="N16" sqref="N16"/>
    </sheetView>
  </sheetViews>
  <sheetFormatPr baseColWidth="10" defaultRowHeight="14.4" x14ac:dyDescent="0.3"/>
  <cols>
    <col min="1" max="1" width="12.109375" customWidth="1"/>
    <col min="3" max="3" width="14.6640625" bestFit="1" customWidth="1"/>
    <col min="4" max="4" width="19.5546875" customWidth="1"/>
    <col min="5" max="5" width="21.44140625" customWidth="1"/>
    <col min="6" max="6" width="25.5546875" customWidth="1"/>
    <col min="7" max="7" width="20.5546875" customWidth="1"/>
    <col min="12" max="12" width="12" bestFit="1" customWidth="1"/>
    <col min="14" max="15" width="12" bestFit="1" customWidth="1"/>
    <col min="18" max="18" width="11.5546875" customWidth="1"/>
  </cols>
  <sheetData>
    <row r="1" spans="1:22" x14ac:dyDescent="0.3">
      <c r="A1" t="s">
        <v>54</v>
      </c>
      <c r="B1" s="14" t="s">
        <v>49</v>
      </c>
      <c r="C1" s="14" t="s">
        <v>50</v>
      </c>
      <c r="D1" s="14" t="s">
        <v>51</v>
      </c>
      <c r="E1" t="s">
        <v>14</v>
      </c>
      <c r="F1" s="14" t="s">
        <v>52</v>
      </c>
      <c r="G1" s="14" t="s">
        <v>53</v>
      </c>
      <c r="H1" s="3" t="s">
        <v>2</v>
      </c>
      <c r="I1" s="3" t="s">
        <v>1</v>
      </c>
      <c r="J1" s="3" t="s">
        <v>15</v>
      </c>
      <c r="K1" s="3" t="s">
        <v>16</v>
      </c>
      <c r="L1" s="3" t="s">
        <v>11</v>
      </c>
      <c r="M1" s="3" t="s">
        <v>12</v>
      </c>
      <c r="N1" s="3" t="s">
        <v>13</v>
      </c>
      <c r="O1" s="7" t="s">
        <v>17</v>
      </c>
      <c r="P1" s="8">
        <v>0.45114245520772456</v>
      </c>
      <c r="Q1" s="9" t="s">
        <v>18</v>
      </c>
      <c r="R1" s="20">
        <v>1.2355541286794891E-4</v>
      </c>
      <c r="S1" s="11" t="s">
        <v>1</v>
      </c>
      <c r="T1" s="20">
        <v>2.1899999999999999E-7</v>
      </c>
      <c r="U1" s="20"/>
      <c r="V1" t="s">
        <v>65</v>
      </c>
    </row>
    <row r="2" spans="1:22" x14ac:dyDescent="0.3">
      <c r="A2">
        <v>1</v>
      </c>
      <c r="B2">
        <v>84783</v>
      </c>
      <c r="C2">
        <v>247866</v>
      </c>
      <c r="D2">
        <v>0</v>
      </c>
      <c r="E2">
        <v>0</v>
      </c>
      <c r="F2">
        <v>5863</v>
      </c>
      <c r="G2">
        <v>8268</v>
      </c>
      <c r="H2" s="12">
        <v>84783</v>
      </c>
      <c r="I2" s="12">
        <v>247866</v>
      </c>
      <c r="J2" s="12">
        <v>84783</v>
      </c>
      <c r="K2" s="12">
        <v>247866</v>
      </c>
      <c r="L2" s="5">
        <v>0</v>
      </c>
      <c r="M2" s="5">
        <v>0</v>
      </c>
      <c r="N2" s="5">
        <v>0</v>
      </c>
      <c r="O2" s="7" t="s">
        <v>19</v>
      </c>
      <c r="P2" s="8">
        <v>0.92604196196809374</v>
      </c>
      <c r="R2" s="20">
        <v>4.0482323335787795E-4</v>
      </c>
      <c r="S2" s="11" t="s">
        <v>2</v>
      </c>
      <c r="T2" s="20">
        <v>5.8899999999999998E-8</v>
      </c>
      <c r="U2" s="20"/>
    </row>
    <row r="3" spans="1:22" x14ac:dyDescent="0.3">
      <c r="A3">
        <v>2</v>
      </c>
      <c r="B3">
        <v>141589</v>
      </c>
      <c r="C3">
        <v>261368</v>
      </c>
      <c r="D3">
        <f>-(B2-E2)+Tabla2[[#This Row],[Soviet]]</f>
        <v>56806</v>
      </c>
      <c r="E3">
        <f>-(C2-G2)+Tabla2[[#This Row],[German]]</f>
        <v>21770</v>
      </c>
      <c r="F3">
        <v>3604</v>
      </c>
      <c r="G3">
        <v>8888</v>
      </c>
      <c r="H3" s="12">
        <v>141589</v>
      </c>
      <c r="I3" s="12">
        <v>261368</v>
      </c>
      <c r="J3" s="5">
        <f>J2-$R$1*($R$3*(K2^$P$1)*(J2^$P$2))+D3</f>
        <v>140360.8743826673</v>
      </c>
      <c r="K3" s="5">
        <f>K2-$R$2*($R$3*(J2^$P$1)*(K2^$P$2))+E3</f>
        <v>262938.60355055018</v>
      </c>
      <c r="L3" s="5">
        <f>H3-J3</f>
        <v>1228.1256173326983</v>
      </c>
      <c r="M3" s="5">
        <f>I3-K3</f>
        <v>-1570.6035505501786</v>
      </c>
      <c r="N3" s="5">
        <f>L3*L3+M3*M3</f>
        <v>3975088.0449496489</v>
      </c>
      <c r="O3" s="6" t="s">
        <v>20</v>
      </c>
      <c r="R3" s="10">
        <v>1</v>
      </c>
      <c r="S3" s="11" t="s">
        <v>21</v>
      </c>
    </row>
    <row r="4" spans="1:22" x14ac:dyDescent="0.3">
      <c r="A4">
        <v>3</v>
      </c>
      <c r="B4">
        <v>163378</v>
      </c>
      <c r="C4">
        <v>211212</v>
      </c>
      <c r="D4">
        <f>-(B3-F3)+Tabla2[[#This Row],[Soviet]]</f>
        <v>25393</v>
      </c>
      <c r="E4">
        <f>-(C3-G3)+Tabla2[[#This Row],[German]]</f>
        <v>-41268</v>
      </c>
      <c r="F4">
        <v>3047</v>
      </c>
      <c r="G4">
        <v>8898</v>
      </c>
      <c r="H4" s="12">
        <v>163378</v>
      </c>
      <c r="I4" s="12">
        <v>211212</v>
      </c>
      <c r="J4" s="5">
        <f t="shared" ref="J4:J15" si="0">J3-$R$1*($R$3*(K3^$P$1)*(J3^$P$2))+D4</f>
        <v>163742.21697731348</v>
      </c>
      <c r="K4" s="5">
        <f t="shared" ref="K4:K15" si="1">K3-$R$2*($R$3*(J3^$P$1)*(K3^$P$2))+E4</f>
        <v>212790.47578396375</v>
      </c>
      <c r="L4" s="5">
        <f>H4-J4</f>
        <v>-364.21697731348104</v>
      </c>
      <c r="M4" s="5">
        <f t="shared" ref="M4:M15" si="2">I4-K4</f>
        <v>-1578.4757839637459</v>
      </c>
      <c r="N4" s="5">
        <f>L4*L4+M4*M4</f>
        <v>2624239.8071233309</v>
      </c>
      <c r="O4">
        <f>SUM(N2:N4)/300000</f>
        <v>21.997759506909933</v>
      </c>
      <c r="P4" s="6"/>
      <c r="Q4" t="s">
        <v>43</v>
      </c>
      <c r="T4" t="s">
        <v>71</v>
      </c>
    </row>
    <row r="5" spans="1:22" x14ac:dyDescent="0.3">
      <c r="A5">
        <v>4</v>
      </c>
      <c r="B5">
        <v>145875</v>
      </c>
      <c r="C5">
        <v>227314</v>
      </c>
      <c r="D5">
        <f>-(B4-F4)+Tabla2[[#This Row],[Soviet]]</f>
        <v>-14456</v>
      </c>
      <c r="E5">
        <f>-(C4-G4)+Tabla2[[#This Row],[German]]</f>
        <v>25000</v>
      </c>
      <c r="F5">
        <v>2744</v>
      </c>
      <c r="G5">
        <v>7534</v>
      </c>
      <c r="H5" s="12">
        <v>145875</v>
      </c>
      <c r="I5" s="12">
        <v>227314</v>
      </c>
      <c r="J5" s="5">
        <f t="shared" si="0"/>
        <v>147177.30341449042</v>
      </c>
      <c r="K5" s="5">
        <f t="shared" si="1"/>
        <v>229965.1582489241</v>
      </c>
      <c r="L5" s="5">
        <f>H5-J5</f>
        <v>-1302.3034144904232</v>
      </c>
      <c r="M5" s="5">
        <f t="shared" si="2"/>
        <v>-2651.1582489240973</v>
      </c>
      <c r="N5" s="5">
        <f t="shared" ref="N5:N15" si="3">L5*L5+M5*M5</f>
        <v>8724634.2442317009</v>
      </c>
      <c r="P5" s="8">
        <v>1.8014123361009111E-2</v>
      </c>
      <c r="Q5" s="9" t="s">
        <v>18</v>
      </c>
      <c r="R5" s="20">
        <v>0.2748857559466335</v>
      </c>
      <c r="S5" s="11" t="s">
        <v>1</v>
      </c>
    </row>
    <row r="6" spans="1:22" x14ac:dyDescent="0.3">
      <c r="A6">
        <v>5</v>
      </c>
      <c r="B6">
        <v>179607</v>
      </c>
      <c r="C6">
        <v>224664</v>
      </c>
      <c r="D6">
        <f>-(B5-F5)+Tabla2[[#This Row],[Soviet]]</f>
        <v>36476</v>
      </c>
      <c r="E6">
        <f>-(C5-G5)+Tabla2[[#This Row],[German]]</f>
        <v>4884</v>
      </c>
      <c r="F6">
        <v>2623</v>
      </c>
      <c r="G6">
        <v>8608</v>
      </c>
      <c r="H6" s="12">
        <v>179607</v>
      </c>
      <c r="I6" s="12">
        <v>224664</v>
      </c>
      <c r="J6" s="5">
        <f t="shared" si="0"/>
        <v>181674.63680183815</v>
      </c>
      <c r="K6" s="5">
        <f t="shared" si="1"/>
        <v>226835.6650803384</v>
      </c>
      <c r="L6" s="5">
        <f>H6-J6</f>
        <v>-2067.6368018381472</v>
      </c>
      <c r="M6" s="5">
        <f t="shared" si="2"/>
        <v>-2171.6650803383964</v>
      </c>
      <c r="N6" s="5">
        <f t="shared" si="3"/>
        <v>8991251.1654766556</v>
      </c>
      <c r="P6" s="8">
        <v>0.72300628623850671</v>
      </c>
      <c r="R6" s="20">
        <v>0.85961122203218676</v>
      </c>
      <c r="S6" s="11" t="s">
        <v>2</v>
      </c>
      <c r="T6" t="s">
        <v>48</v>
      </c>
    </row>
    <row r="7" spans="1:22" x14ac:dyDescent="0.3">
      <c r="A7">
        <v>6</v>
      </c>
      <c r="B7">
        <v>166526</v>
      </c>
      <c r="C7">
        <v>200686</v>
      </c>
      <c r="D7">
        <f>-(B6-F6)+Tabla2[[#This Row],[Soviet]]</f>
        <v>-10458</v>
      </c>
      <c r="E7">
        <f>-(C6-G6)+Tabla2[[#This Row],[German]]</f>
        <v>-15370</v>
      </c>
      <c r="F7">
        <v>1848</v>
      </c>
      <c r="G7">
        <v>8138</v>
      </c>
      <c r="H7" s="12">
        <v>166526</v>
      </c>
      <c r="I7" s="12">
        <v>200686</v>
      </c>
      <c r="J7" s="5">
        <f t="shared" si="0"/>
        <v>168826.74768294231</v>
      </c>
      <c r="K7" s="5">
        <f t="shared" si="1"/>
        <v>202764.65225128218</v>
      </c>
      <c r="L7" s="5">
        <f t="shared" ref="L7:L15" si="4">H7-J7</f>
        <v>-2300.7476829423103</v>
      </c>
      <c r="M7" s="5">
        <f t="shared" si="2"/>
        <v>-2078.652251282183</v>
      </c>
      <c r="N7" s="5">
        <f t="shared" si="3"/>
        <v>9614235.082324896</v>
      </c>
      <c r="O7">
        <f>SUM(N5:N7)/300000</f>
        <v>91.100401640110846</v>
      </c>
      <c r="Q7" t="s">
        <v>44</v>
      </c>
      <c r="R7" s="21"/>
    </row>
    <row r="8" spans="1:22" x14ac:dyDescent="0.3">
      <c r="A8">
        <v>7</v>
      </c>
      <c r="B8">
        <v>219343</v>
      </c>
      <c r="C8">
        <v>232938</v>
      </c>
      <c r="D8">
        <f>-(B7-F7)+Tabla2[[#This Row],[Soviet]]</f>
        <v>54665</v>
      </c>
      <c r="E8">
        <f>-(C7-G7)+Tabla2[[#This Row],[German]]</f>
        <v>40390</v>
      </c>
      <c r="F8">
        <v>2360</v>
      </c>
      <c r="G8">
        <v>6634</v>
      </c>
      <c r="H8" s="12">
        <v>219343</v>
      </c>
      <c r="I8" s="12">
        <v>232938</v>
      </c>
      <c r="J8" s="5">
        <f t="shared" si="0"/>
        <v>221368.98598160135</v>
      </c>
      <c r="K8" s="5">
        <f t="shared" si="1"/>
        <v>235567.4157108294</v>
      </c>
      <c r="L8" s="5">
        <f t="shared" si="4"/>
        <v>-2025.9859816013486</v>
      </c>
      <c r="M8" s="5">
        <f t="shared" si="2"/>
        <v>-2629.4157108294021</v>
      </c>
      <c r="N8" s="5">
        <f t="shared" si="3"/>
        <v>11018446.17800167</v>
      </c>
      <c r="O8" t="s">
        <v>46</v>
      </c>
      <c r="P8" s="8">
        <v>1.809887152029822E-2</v>
      </c>
      <c r="Q8" s="9" t="s">
        <v>18</v>
      </c>
      <c r="R8" s="20">
        <v>0.32186137926580843</v>
      </c>
      <c r="S8" s="11" t="s">
        <v>1</v>
      </c>
      <c r="T8" t="s">
        <v>45</v>
      </c>
    </row>
    <row r="9" spans="1:22" x14ac:dyDescent="0.3">
      <c r="A9">
        <v>8</v>
      </c>
      <c r="B9">
        <v>252844</v>
      </c>
      <c r="C9">
        <v>262920</v>
      </c>
      <c r="D9">
        <f>-(B8-F8)+Tabla2[[#This Row],[Soviet]]</f>
        <v>35861</v>
      </c>
      <c r="E9">
        <f>-(C8-G8)+Tabla2[[#This Row],[German]]</f>
        <v>36616</v>
      </c>
      <c r="F9">
        <v>2575</v>
      </c>
      <c r="G9">
        <v>18072</v>
      </c>
      <c r="H9" s="12">
        <v>252844</v>
      </c>
      <c r="I9" s="12">
        <v>262920</v>
      </c>
      <c r="J9" s="5">
        <f t="shared" si="0"/>
        <v>254310.85588157715</v>
      </c>
      <c r="K9" s="5">
        <f t="shared" si="1"/>
        <v>262332.45355088601</v>
      </c>
      <c r="L9" s="5">
        <f t="shared" si="4"/>
        <v>-1466.8558815771539</v>
      </c>
      <c r="M9" s="5">
        <f t="shared" si="2"/>
        <v>587.54644911398645</v>
      </c>
      <c r="N9" s="5">
        <f t="shared" si="3"/>
        <v>2496877.0071839439</v>
      </c>
      <c r="P9" s="8">
        <v>0.73365446648895438</v>
      </c>
      <c r="R9" s="20">
        <v>0.78266776212868583</v>
      </c>
      <c r="S9" s="11" t="s">
        <v>2</v>
      </c>
      <c r="T9" s="13"/>
    </row>
    <row r="10" spans="1:22" x14ac:dyDescent="0.3">
      <c r="A10">
        <v>9</v>
      </c>
      <c r="B10">
        <v>175121</v>
      </c>
      <c r="C10">
        <v>279697</v>
      </c>
      <c r="D10">
        <f>-(B9-F9)+Tabla2[[#This Row],[Soviet]]</f>
        <v>-75148</v>
      </c>
      <c r="E10">
        <f>-(C9-G9)+Tabla2[[#This Row],[German]]</f>
        <v>34849</v>
      </c>
      <c r="F10">
        <v>2031</v>
      </c>
      <c r="G10">
        <v>8688</v>
      </c>
      <c r="H10" s="12">
        <v>175121</v>
      </c>
      <c r="I10" s="12">
        <v>279697</v>
      </c>
      <c r="J10" s="5">
        <f t="shared" si="0"/>
        <v>175678.43427436738</v>
      </c>
      <c r="K10" s="5">
        <f t="shared" si="1"/>
        <v>285595.29736572155</v>
      </c>
      <c r="L10" s="5">
        <f t="shared" si="4"/>
        <v>-557.43427436737693</v>
      </c>
      <c r="M10" s="5">
        <f t="shared" si="2"/>
        <v>-5898.297365721548</v>
      </c>
      <c r="N10" s="5">
        <f t="shared" si="3"/>
        <v>35100644.784717232</v>
      </c>
      <c r="P10" s="19"/>
      <c r="Q10" s="19"/>
      <c r="R10" s="22"/>
    </row>
    <row r="11" spans="1:22" x14ac:dyDescent="0.3">
      <c r="A11">
        <v>10</v>
      </c>
      <c r="B11">
        <v>206465</v>
      </c>
      <c r="C11">
        <v>208498</v>
      </c>
      <c r="D11">
        <f>-(B10-F10)+Tabla2[[#This Row],[Soviet]]</f>
        <v>33375</v>
      </c>
      <c r="E11">
        <f>-(C10-G10)+Tabla2[[#This Row],[German]]</f>
        <v>-62511</v>
      </c>
      <c r="F11">
        <v>1677</v>
      </c>
      <c r="G11">
        <v>6148</v>
      </c>
      <c r="H11" s="12">
        <v>206465</v>
      </c>
      <c r="I11" s="12">
        <v>208498</v>
      </c>
      <c r="J11" s="5">
        <f t="shared" si="0"/>
        <v>206482.96707561568</v>
      </c>
      <c r="K11" s="5">
        <f t="shared" si="1"/>
        <v>212476.26107238687</v>
      </c>
      <c r="L11" s="5">
        <f t="shared" si="4"/>
        <v>-17.967075615684735</v>
      </c>
      <c r="M11" s="5">
        <f t="shared" si="2"/>
        <v>-3978.2610723868711</v>
      </c>
      <c r="N11" s="5">
        <f t="shared" si="3"/>
        <v>15826883.975874918</v>
      </c>
      <c r="O11">
        <f>SUM(N8:N11)/400000</f>
        <v>161.1071298644444</v>
      </c>
      <c r="P11" s="8">
        <v>0.90808715746220026</v>
      </c>
      <c r="Q11" s="9" t="s">
        <v>18</v>
      </c>
      <c r="R11" s="20">
        <v>3.0682581486255026E-2</v>
      </c>
      <c r="S11" s="11" t="s">
        <v>1</v>
      </c>
    </row>
    <row r="12" spans="1:22" x14ac:dyDescent="0.3">
      <c r="A12">
        <v>11</v>
      </c>
      <c r="B12">
        <v>89898</v>
      </c>
      <c r="C12">
        <v>226075</v>
      </c>
      <c r="D12">
        <f>-(B11-F11)+Tabla2[[#This Row],[Soviet]]</f>
        <v>-114890</v>
      </c>
      <c r="E12">
        <f>-(C11-G11)+Tabla2[[#This Row],[German]]</f>
        <v>23725</v>
      </c>
      <c r="F12">
        <v>1064</v>
      </c>
      <c r="G12">
        <v>2472</v>
      </c>
      <c r="H12" s="12">
        <v>89898</v>
      </c>
      <c r="I12" s="12">
        <v>226075</v>
      </c>
      <c r="J12" s="5">
        <f t="shared" si="0"/>
        <v>88980.544074825972</v>
      </c>
      <c r="K12" s="5">
        <f t="shared" si="1"/>
        <v>227524.68577274596</v>
      </c>
      <c r="L12" s="5">
        <f t="shared" si="4"/>
        <v>917.45592517402838</v>
      </c>
      <c r="M12" s="5">
        <f t="shared" si="2"/>
        <v>-1449.6857727459574</v>
      </c>
      <c r="N12" s="5">
        <f t="shared" si="3"/>
        <v>2943314.214338976</v>
      </c>
      <c r="P12" s="8">
        <v>0</v>
      </c>
      <c r="R12" s="20">
        <v>0.16572510843186375</v>
      </c>
      <c r="S12" s="11" t="s">
        <v>2</v>
      </c>
    </row>
    <row r="13" spans="1:22" x14ac:dyDescent="0.3">
      <c r="A13">
        <v>12</v>
      </c>
      <c r="B13">
        <v>87769</v>
      </c>
      <c r="C13">
        <v>131800</v>
      </c>
      <c r="D13">
        <f>-(B12-F12)+Tabla2[[#This Row],[Soviet]]</f>
        <v>-1065</v>
      </c>
      <c r="E13">
        <f>-(C12-G12)+Tabla2[[#This Row],[German]]</f>
        <v>-91803</v>
      </c>
      <c r="F13">
        <v>469</v>
      </c>
      <c r="G13">
        <v>2114</v>
      </c>
      <c r="H13" s="12">
        <v>87769</v>
      </c>
      <c r="I13" s="12">
        <v>131800</v>
      </c>
      <c r="J13" s="5">
        <f t="shared" si="0"/>
        <v>86679.882101557843</v>
      </c>
      <c r="K13" s="5">
        <f t="shared" si="1"/>
        <v>129398.50268748947</v>
      </c>
      <c r="L13" s="5">
        <f t="shared" si="4"/>
        <v>1089.1178984421567</v>
      </c>
      <c r="M13" s="5">
        <f t="shared" si="2"/>
        <v>2401.4973125105316</v>
      </c>
      <c r="N13" s="5">
        <f t="shared" si="3"/>
        <v>6953367.1387023665</v>
      </c>
      <c r="R13" s="21"/>
    </row>
    <row r="14" spans="1:22" x14ac:dyDescent="0.3">
      <c r="A14">
        <v>13</v>
      </c>
      <c r="B14">
        <v>37981</v>
      </c>
      <c r="C14">
        <v>149438</v>
      </c>
      <c r="D14">
        <f>-(B13-F13)+Tabla2[[#This Row],[Soviet]]</f>
        <v>-49319</v>
      </c>
      <c r="E14">
        <f>-(C13-G13)+Tabla2[[#This Row],[German]]</f>
        <v>19752</v>
      </c>
      <c r="F14">
        <v>495</v>
      </c>
      <c r="G14">
        <v>457</v>
      </c>
      <c r="H14" s="12">
        <v>37981</v>
      </c>
      <c r="I14" s="12">
        <v>149438</v>
      </c>
      <c r="J14" s="5">
        <f t="shared" si="0"/>
        <v>36425.929378077053</v>
      </c>
      <c r="K14" s="5">
        <f t="shared" si="1"/>
        <v>145445.13753182616</v>
      </c>
      <c r="L14" s="5">
        <f t="shared" si="4"/>
        <v>1555.0706219229469</v>
      </c>
      <c r="M14" s="5">
        <f t="shared" si="2"/>
        <v>3992.8624681738438</v>
      </c>
      <c r="N14" s="5">
        <f t="shared" si="3"/>
        <v>18361195.328919142</v>
      </c>
      <c r="P14" s="8">
        <v>0.90485740292786254</v>
      </c>
      <c r="Q14" s="9" t="s">
        <v>18</v>
      </c>
      <c r="R14" s="20">
        <v>2.8684687516150772E-2</v>
      </c>
      <c r="S14" s="11" t="s">
        <v>1</v>
      </c>
      <c r="T14" t="s">
        <v>47</v>
      </c>
    </row>
    <row r="15" spans="1:22" x14ac:dyDescent="0.3">
      <c r="A15">
        <v>14</v>
      </c>
      <c r="B15">
        <v>119346</v>
      </c>
      <c r="C15">
        <v>188079</v>
      </c>
      <c r="D15">
        <f>-(B14-F14)+Tabla2[[#This Row],[Soviet]]</f>
        <v>81860</v>
      </c>
      <c r="E15">
        <f>-(C14-G14)+Tabla2[[#This Row],[German]]</f>
        <v>39098</v>
      </c>
      <c r="F15">
        <v>807</v>
      </c>
      <c r="G15">
        <v>2404</v>
      </c>
      <c r="H15" s="12">
        <v>119346</v>
      </c>
      <c r="I15" s="12">
        <v>188079</v>
      </c>
      <c r="J15" s="5">
        <f t="shared" si="0"/>
        <v>117844.32615809576</v>
      </c>
      <c r="K15" s="5">
        <f t="shared" si="1"/>
        <v>181750.6738879265</v>
      </c>
      <c r="L15" s="5">
        <f t="shared" si="4"/>
        <v>1501.6738419042376</v>
      </c>
      <c r="M15" s="5">
        <f t="shared" si="2"/>
        <v>6328.3261120734969</v>
      </c>
      <c r="N15" s="5">
        <f t="shared" si="3"/>
        <v>42302735.708210692</v>
      </c>
      <c r="O15">
        <f>SUM(N12:N15)/400000</f>
        <v>176.40153097542793</v>
      </c>
      <c r="P15" s="8">
        <v>0</v>
      </c>
      <c r="R15" s="20">
        <v>0.15666397174573404</v>
      </c>
      <c r="S15" s="11" t="s">
        <v>2</v>
      </c>
    </row>
    <row r="16" spans="1:22" x14ac:dyDescent="0.3">
      <c r="N16">
        <f>SUM(N2:N15)/1400000</f>
        <v>120.66636620003939</v>
      </c>
      <c r="O16" s="15" t="s">
        <v>22</v>
      </c>
    </row>
    <row r="17" spans="8:18" x14ac:dyDescent="0.3">
      <c r="O17" s="17" t="s">
        <v>33</v>
      </c>
      <c r="P17">
        <f>SUM(H2:H15)/14</f>
        <v>147894.64285714287</v>
      </c>
    </row>
    <row r="18" spans="8:18" x14ac:dyDescent="0.3">
      <c r="O18" s="17" t="s">
        <v>34</v>
      </c>
      <c r="P18">
        <f>SUM(I2:I15)/13</f>
        <v>234811.92307692306</v>
      </c>
    </row>
    <row r="21" spans="8:18" x14ac:dyDescent="0.3">
      <c r="O21" t="s">
        <v>66</v>
      </c>
    </row>
    <row r="22" spans="8:18" x14ac:dyDescent="0.3">
      <c r="O22" s="7" t="s">
        <v>17</v>
      </c>
      <c r="P22" s="8">
        <v>1.2382021782866333</v>
      </c>
      <c r="Q22" s="9" t="s">
        <v>18</v>
      </c>
      <c r="R22" s="20">
        <v>2.0601669326400826E-6</v>
      </c>
    </row>
    <row r="23" spans="8:18" x14ac:dyDescent="0.3">
      <c r="O23" s="7" t="s">
        <v>19</v>
      </c>
      <c r="P23" s="8">
        <v>0.45433276184429622</v>
      </c>
      <c r="R23" s="20">
        <v>1.0407270164491582E-5</v>
      </c>
    </row>
    <row r="24" spans="8:18" x14ac:dyDescent="0.3">
      <c r="H24" t="s">
        <v>23</v>
      </c>
      <c r="I24" t="s">
        <v>24</v>
      </c>
      <c r="J24" t="s">
        <v>25</v>
      </c>
      <c r="K24" t="s">
        <v>26</v>
      </c>
      <c r="L24" t="s">
        <v>27</v>
      </c>
    </row>
    <row r="25" spans="8:18" x14ac:dyDescent="0.3">
      <c r="H25">
        <f>(H2-J2)^2</f>
        <v>0</v>
      </c>
      <c r="I25">
        <f>(I2-K2)^2</f>
        <v>0</v>
      </c>
      <c r="K25">
        <f>(H2-P17)^2</f>
        <v>3983079464.1275525</v>
      </c>
      <c r="L25">
        <f>(I2-P18)^2</f>
        <v>170408924.31360981</v>
      </c>
    </row>
    <row r="26" spans="8:18" x14ac:dyDescent="0.3">
      <c r="H26">
        <f t="shared" ref="H26:H38" si="5">(H3-J3)^2</f>
        <v>1508292.5319488214</v>
      </c>
      <c r="I26">
        <f t="shared" ref="I26:I38" si="6">(I3-K3)^2</f>
        <v>2466795.5130008273</v>
      </c>
      <c r="K26">
        <f t="shared" ref="K26:K38" si="7">(H3-P18)^2</f>
        <v>8690513387.0059147</v>
      </c>
      <c r="L26">
        <f t="shared" ref="L26:L38" si="8">(I3-P19)^2</f>
        <v>68313231424</v>
      </c>
    </row>
    <row r="27" spans="8:18" x14ac:dyDescent="0.3">
      <c r="H27">
        <f t="shared" si="5"/>
        <v>132654.00656336875</v>
      </c>
      <c r="I27">
        <f t="shared" si="6"/>
        <v>2491585.8005599622</v>
      </c>
      <c r="K27">
        <f t="shared" si="7"/>
        <v>26692370884</v>
      </c>
      <c r="L27">
        <f t="shared" si="8"/>
        <v>44610508944</v>
      </c>
    </row>
    <row r="28" spans="8:18" x14ac:dyDescent="0.3">
      <c r="H28">
        <f t="shared" si="5"/>
        <v>1695994.1833934148</v>
      </c>
      <c r="I28">
        <f t="shared" si="6"/>
        <v>7028640.0608382858</v>
      </c>
      <c r="K28">
        <f t="shared" si="7"/>
        <v>21279515625</v>
      </c>
      <c r="L28">
        <f t="shared" si="8"/>
        <v>51671654596</v>
      </c>
    </row>
    <row r="29" spans="8:18" x14ac:dyDescent="0.3">
      <c r="H29">
        <f t="shared" si="5"/>
        <v>4275121.9443154819</v>
      </c>
      <c r="I29">
        <f t="shared" si="6"/>
        <v>4716129.2211611737</v>
      </c>
      <c r="K29">
        <f t="shared" si="7"/>
        <v>32258674449</v>
      </c>
      <c r="L29">
        <f t="shared" si="8"/>
        <v>50473356538.624771</v>
      </c>
    </row>
    <row r="30" spans="8:18" x14ac:dyDescent="0.3">
      <c r="H30">
        <f t="shared" si="5"/>
        <v>5293439.9005644098</v>
      </c>
      <c r="I30">
        <f t="shared" si="6"/>
        <v>4320795.1817604871</v>
      </c>
      <c r="K30">
        <f t="shared" si="7"/>
        <v>27730496291.821259</v>
      </c>
      <c r="L30">
        <f t="shared" si="8"/>
        <v>40274688239.757133</v>
      </c>
    </row>
    <row r="31" spans="8:18" x14ac:dyDescent="0.3">
      <c r="H31">
        <f t="shared" si="5"/>
        <v>4104619.1976451799</v>
      </c>
      <c r="I31">
        <f t="shared" si="6"/>
        <v>6913826.9803564902</v>
      </c>
      <c r="K31">
        <f t="shared" si="7"/>
        <v>48111152339.784454</v>
      </c>
      <c r="L31">
        <f t="shared" si="8"/>
        <v>54260111844</v>
      </c>
      <c r="N31" s="8" t="s">
        <v>28</v>
      </c>
      <c r="O31">
        <f>1-((H39+I39))/(K39+L39)</f>
        <v>0.99982480044630118</v>
      </c>
    </row>
    <row r="32" spans="8:18" x14ac:dyDescent="0.3">
      <c r="H32">
        <f t="shared" si="5"/>
        <v>2151666.1773174894</v>
      </c>
      <c r="I32">
        <f t="shared" si="6"/>
        <v>345210.8298664543</v>
      </c>
      <c r="K32">
        <f t="shared" si="7"/>
        <v>63930088336</v>
      </c>
      <c r="L32">
        <f t="shared" si="8"/>
        <v>69126926400</v>
      </c>
      <c r="N32" s="8" t="s">
        <v>29</v>
      </c>
      <c r="O32">
        <f>N39/(K39+L39)</f>
        <v>0.99982480044630118</v>
      </c>
      <c r="P32" t="s">
        <v>30</v>
      </c>
    </row>
    <row r="33" spans="6:18" x14ac:dyDescent="0.3">
      <c r="H33">
        <f t="shared" si="5"/>
        <v>310732.97023948404</v>
      </c>
      <c r="I33">
        <f t="shared" si="6"/>
        <v>34789911.814477749</v>
      </c>
      <c r="K33">
        <f t="shared" si="7"/>
        <v>30667364641</v>
      </c>
      <c r="L33">
        <f t="shared" si="8"/>
        <v>78230411809</v>
      </c>
    </row>
    <row r="34" spans="6:18" x14ac:dyDescent="0.3">
      <c r="H34">
        <f t="shared" si="5"/>
        <v>322.81580617973299</v>
      </c>
      <c r="I34">
        <f t="shared" si="6"/>
        <v>15826561.160068737</v>
      </c>
      <c r="K34">
        <f t="shared" si="7"/>
        <v>42627796225</v>
      </c>
      <c r="L34">
        <f t="shared" si="8"/>
        <v>43471416004</v>
      </c>
    </row>
    <row r="35" spans="6:18" x14ac:dyDescent="0.3">
      <c r="H35">
        <f t="shared" si="5"/>
        <v>841725.37463693239</v>
      </c>
      <c r="I35">
        <f t="shared" si="6"/>
        <v>2101588.8397020437</v>
      </c>
      <c r="K35">
        <f t="shared" si="7"/>
        <v>8081650404</v>
      </c>
      <c r="L35">
        <f t="shared" si="8"/>
        <v>51109905625</v>
      </c>
    </row>
    <row r="36" spans="6:18" x14ac:dyDescent="0.3">
      <c r="H36">
        <f t="shared" si="5"/>
        <v>1186177.79670706</v>
      </c>
      <c r="I36">
        <f t="shared" si="6"/>
        <v>5767189.3419953063</v>
      </c>
      <c r="K36">
        <f t="shared" si="7"/>
        <v>7703397361</v>
      </c>
      <c r="L36">
        <f t="shared" si="8"/>
        <v>17371240000</v>
      </c>
    </row>
    <row r="37" spans="6:18" x14ac:dyDescent="0.3">
      <c r="H37">
        <f t="shared" si="5"/>
        <v>2418244.639167821</v>
      </c>
      <c r="I37">
        <f t="shared" si="6"/>
        <v>15942950.68975132</v>
      </c>
      <c r="K37">
        <f t="shared" si="7"/>
        <v>1442556361</v>
      </c>
      <c r="L37">
        <f t="shared" si="8"/>
        <v>22331715844</v>
      </c>
    </row>
    <row r="38" spans="6:18" x14ac:dyDescent="0.3">
      <c r="H38">
        <f t="shared" si="5"/>
        <v>2255024.3274594331</v>
      </c>
      <c r="I38">
        <f t="shared" si="6"/>
        <v>40047711.38075126</v>
      </c>
      <c r="K38">
        <f t="shared" si="7"/>
        <v>14243467716</v>
      </c>
      <c r="L38">
        <f t="shared" si="8"/>
        <v>35373710241</v>
      </c>
    </row>
    <row r="39" spans="6:18" x14ac:dyDescent="0.3">
      <c r="G39" s="18" t="s">
        <v>35</v>
      </c>
      <c r="H39">
        <f>SUM(H25:H38)</f>
        <v>26174015.865765072</v>
      </c>
      <c r="I39">
        <f>SUM(I25:I38)</f>
        <v>142758896.81429011</v>
      </c>
      <c r="J39" s="16" t="s">
        <v>31</v>
      </c>
      <c r="K39">
        <f>SUM(K25:K38)</f>
        <v>337442123484.7392</v>
      </c>
      <c r="L39">
        <f>SUM(L25:L38)</f>
        <v>626789286433.69556</v>
      </c>
      <c r="M39" s="16" t="s">
        <v>32</v>
      </c>
      <c r="N39">
        <f>(K39+L39)-(H39+I39)</f>
        <v>964062477005.75476</v>
      </c>
    </row>
    <row r="48" spans="6:18" x14ac:dyDescent="0.3">
      <c r="F48" t="s">
        <v>41</v>
      </c>
      <c r="L48" t="s">
        <v>40</v>
      </c>
      <c r="M48" t="s">
        <v>39</v>
      </c>
      <c r="R48" t="s">
        <v>40</v>
      </c>
    </row>
    <row r="49" spans="5:18" x14ac:dyDescent="0.3">
      <c r="E49" t="s">
        <v>38</v>
      </c>
      <c r="F49" s="7" t="s">
        <v>17</v>
      </c>
      <c r="G49" s="8">
        <v>1</v>
      </c>
      <c r="H49" s="9" t="s">
        <v>18</v>
      </c>
      <c r="I49" s="20">
        <v>5.8899999999999998E-8</v>
      </c>
      <c r="J49" s="11" t="s">
        <v>1</v>
      </c>
      <c r="L49">
        <v>0.99973897596701211</v>
      </c>
      <c r="M49" s="7" t="s">
        <v>17</v>
      </c>
      <c r="N49" s="8">
        <v>0.61019059020564848</v>
      </c>
      <c r="O49" s="9" t="s">
        <v>18</v>
      </c>
      <c r="P49" s="20">
        <v>6.663876822745507E-2</v>
      </c>
      <c r="Q49" s="11" t="s">
        <v>1</v>
      </c>
      <c r="R49">
        <v>0.99976670565699899</v>
      </c>
    </row>
    <row r="50" spans="5:18" x14ac:dyDescent="0.3">
      <c r="F50" s="7" t="s">
        <v>19</v>
      </c>
      <c r="G50" s="8">
        <v>1</v>
      </c>
      <c r="I50" s="20">
        <v>2.1899999999999999E-7</v>
      </c>
      <c r="J50" s="11" t="s">
        <v>2</v>
      </c>
      <c r="M50" s="7" t="s">
        <v>19</v>
      </c>
      <c r="N50" s="8">
        <v>0.23855438758202754</v>
      </c>
      <c r="P50" s="20">
        <v>0.29504351326964662</v>
      </c>
      <c r="Q50" s="11" t="s">
        <v>2</v>
      </c>
    </row>
    <row r="51" spans="5:18" x14ac:dyDescent="0.3">
      <c r="E51" t="s">
        <v>36</v>
      </c>
    </row>
    <row r="52" spans="5:18" x14ac:dyDescent="0.3">
      <c r="F52" s="7" t="s">
        <v>17</v>
      </c>
      <c r="G52" s="8">
        <v>1</v>
      </c>
      <c r="H52" s="9" t="s">
        <v>18</v>
      </c>
      <c r="I52" s="20">
        <v>1.37E-2</v>
      </c>
      <c r="J52" s="11" t="s">
        <v>1</v>
      </c>
      <c r="L52">
        <v>0.98990482279526371</v>
      </c>
      <c r="M52" s="7" t="s">
        <v>17</v>
      </c>
      <c r="N52" s="8">
        <v>0.39183342328597331</v>
      </c>
      <c r="O52" s="9" t="s">
        <v>18</v>
      </c>
      <c r="P52" s="20">
        <v>1.3504936413971415E-2</v>
      </c>
      <c r="Q52" s="11" t="s">
        <v>1</v>
      </c>
      <c r="R52">
        <v>0.99979800820025733</v>
      </c>
    </row>
    <row r="53" spans="5:18" x14ac:dyDescent="0.3">
      <c r="F53" s="7" t="s">
        <v>19</v>
      </c>
      <c r="G53" s="8">
        <v>0</v>
      </c>
      <c r="I53" s="20">
        <v>3.3300000000000003E-2</v>
      </c>
      <c r="J53" s="11" t="s">
        <v>2</v>
      </c>
      <c r="M53" s="7" t="s">
        <v>19</v>
      </c>
      <c r="N53" s="8">
        <v>0.5967509646735305</v>
      </c>
      <c r="P53" s="20">
        <v>4.8383633678398506E-2</v>
      </c>
      <c r="Q53" s="11" t="s">
        <v>2</v>
      </c>
    </row>
    <row r="54" spans="5:18" x14ac:dyDescent="0.3">
      <c r="E54" t="s">
        <v>37</v>
      </c>
      <c r="M54" s="7"/>
      <c r="N54" s="8"/>
      <c r="P54" s="20"/>
      <c r="Q54" s="11"/>
    </row>
    <row r="55" spans="5:18" x14ac:dyDescent="0.3">
      <c r="F55" s="7" t="s">
        <v>17</v>
      </c>
      <c r="G55" s="8">
        <v>0</v>
      </c>
      <c r="H55" s="9" t="s">
        <v>18</v>
      </c>
      <c r="I55" s="20">
        <v>1.06E-2</v>
      </c>
      <c r="J55" s="11" t="s">
        <v>1</v>
      </c>
      <c r="L55">
        <v>0.99531493468511467</v>
      </c>
    </row>
    <row r="56" spans="5:18" x14ac:dyDescent="0.3">
      <c r="F56" s="7" t="s">
        <v>19</v>
      </c>
      <c r="G56" s="8">
        <v>1</v>
      </c>
      <c r="I56" s="20">
        <v>4.8099999999999997E-2</v>
      </c>
      <c r="J56" s="11" t="s">
        <v>2</v>
      </c>
      <c r="M56" s="7" t="s">
        <v>17</v>
      </c>
      <c r="N56" s="8">
        <v>0.38950187378314322</v>
      </c>
      <c r="O56" s="9" t="s">
        <v>18</v>
      </c>
      <c r="P56" s="20">
        <v>0.16220355077639853</v>
      </c>
      <c r="Q56" s="11" t="s">
        <v>1</v>
      </c>
      <c r="R56">
        <v>0.99977422681703798</v>
      </c>
    </row>
    <row r="57" spans="5:18" x14ac:dyDescent="0.3">
      <c r="M57" s="7" t="s">
        <v>19</v>
      </c>
      <c r="N57" s="8">
        <v>0.39190904099406854</v>
      </c>
      <c r="P57" s="20">
        <v>0.6255014734002422</v>
      </c>
      <c r="Q57" s="11" t="s">
        <v>2</v>
      </c>
    </row>
    <row r="63" spans="5:18" x14ac:dyDescent="0.3">
      <c r="E63" t="s">
        <v>42</v>
      </c>
    </row>
    <row r="64" spans="5:18" x14ac:dyDescent="0.3">
      <c r="F64" s="7" t="s">
        <v>17</v>
      </c>
      <c r="G64" s="8">
        <v>0.41658518454640464</v>
      </c>
      <c r="H64" s="9" t="s">
        <v>18</v>
      </c>
      <c r="I64" s="20">
        <v>1.8610731314889507E-6</v>
      </c>
      <c r="J64" s="11" t="s">
        <v>1</v>
      </c>
      <c r="L64">
        <v>0.99983525797664652</v>
      </c>
    </row>
    <row r="65" spans="2:21" x14ac:dyDescent="0.3">
      <c r="F65" s="7" t="s">
        <v>19</v>
      </c>
      <c r="G65" s="8">
        <v>1.309176208968148</v>
      </c>
      <c r="I65" s="20">
        <v>5.3621918956896729E-6</v>
      </c>
      <c r="J65" s="11" t="s">
        <v>2</v>
      </c>
    </row>
    <row r="70" spans="2:21" ht="13.2" customHeight="1" x14ac:dyDescent="0.3">
      <c r="B70" s="23" t="s">
        <v>60</v>
      </c>
      <c r="C70" s="24"/>
      <c r="D70" s="23" t="s">
        <v>55</v>
      </c>
      <c r="E70" s="24"/>
      <c r="F70" s="24"/>
      <c r="G70" s="23" t="s">
        <v>62</v>
      </c>
      <c r="H70" s="24"/>
      <c r="I70" s="23" t="s">
        <v>55</v>
      </c>
    </row>
    <row r="71" spans="2:21" x14ac:dyDescent="0.3">
      <c r="B71" s="24"/>
      <c r="C71" s="24"/>
      <c r="D71" s="24"/>
      <c r="E71" s="24"/>
      <c r="F71" s="24"/>
      <c r="G71" s="24"/>
      <c r="H71" s="24"/>
      <c r="I71" s="24"/>
      <c r="L71" s="23" t="s">
        <v>61</v>
      </c>
      <c r="M71" s="24"/>
      <c r="N71" s="23" t="s">
        <v>55</v>
      </c>
      <c r="O71" s="24"/>
      <c r="P71" s="24"/>
      <c r="S71" s="23" t="s">
        <v>63</v>
      </c>
      <c r="T71" s="24"/>
      <c r="U71" s="23" t="s">
        <v>55</v>
      </c>
    </row>
    <row r="72" spans="2:21" x14ac:dyDescent="0.3">
      <c r="B72" s="24"/>
      <c r="C72" s="24"/>
      <c r="D72" s="24"/>
      <c r="E72" s="25" t="s">
        <v>56</v>
      </c>
      <c r="F72" s="24"/>
      <c r="G72" s="24"/>
      <c r="H72" s="24"/>
      <c r="I72" s="24"/>
      <c r="L72" s="24"/>
      <c r="M72" s="24"/>
      <c r="N72" s="24"/>
      <c r="O72" s="24"/>
      <c r="P72" s="24"/>
      <c r="S72" s="24"/>
      <c r="T72" s="24"/>
      <c r="U72" s="24"/>
    </row>
    <row r="73" spans="2:21" x14ac:dyDescent="0.3">
      <c r="B73" s="24"/>
      <c r="C73" s="24"/>
      <c r="D73" s="24">
        <f>LN(SQRT(C75/C77))</f>
        <v>-0.47941284237631543</v>
      </c>
      <c r="E73" s="25"/>
      <c r="F73" s="24"/>
      <c r="G73" s="24"/>
      <c r="H73" s="24"/>
      <c r="I73" s="24">
        <f>LN(SQRT(H75/H77))</f>
        <v>0.31326648663893181</v>
      </c>
      <c r="L73" s="24"/>
      <c r="M73" s="24"/>
      <c r="N73" s="24"/>
      <c r="O73" s="25" t="s">
        <v>56</v>
      </c>
      <c r="P73" s="24"/>
      <c r="S73" s="24"/>
      <c r="T73" s="24"/>
      <c r="U73" s="24"/>
    </row>
    <row r="74" spans="2:21" x14ac:dyDescent="0.3">
      <c r="B74" s="24"/>
      <c r="C74" s="24"/>
      <c r="D74" s="24"/>
      <c r="E74" s="24"/>
      <c r="F74" s="24"/>
      <c r="G74" s="24"/>
      <c r="H74" s="24"/>
      <c r="I74" s="24"/>
      <c r="L74" s="24"/>
      <c r="M74" s="24"/>
      <c r="N74" s="24">
        <f>LN(SQRT(M76/M78))</f>
        <v>0.40521656349204277</v>
      </c>
      <c r="O74" s="25"/>
      <c r="P74" s="24"/>
      <c r="S74" s="24"/>
      <c r="T74" s="24"/>
      <c r="U74" s="24">
        <f>LN(SQRT(T76/T78))</f>
        <v>0.83351912121356952</v>
      </c>
    </row>
    <row r="75" spans="2:21" x14ac:dyDescent="0.3">
      <c r="B75" s="24"/>
      <c r="C75" s="24">
        <f>R2*(B2/C2)</f>
        <v>1.3847049693697792E-4</v>
      </c>
      <c r="D75" s="24" t="s">
        <v>57</v>
      </c>
      <c r="E75" s="24"/>
      <c r="F75" s="24"/>
      <c r="G75" s="24"/>
      <c r="H75" s="24">
        <f>R6*(B4/C4)</f>
        <v>0.66493173793711824</v>
      </c>
      <c r="I75" s="24" t="s">
        <v>57</v>
      </c>
      <c r="L75" s="24"/>
      <c r="M75" s="24"/>
      <c r="N75" s="24"/>
      <c r="O75" s="24"/>
      <c r="P75" s="24"/>
      <c r="S75" s="24"/>
      <c r="T75" s="24"/>
      <c r="U75" s="24"/>
    </row>
    <row r="76" spans="2:21" x14ac:dyDescent="0.3">
      <c r="B76" s="24"/>
      <c r="C76" s="24"/>
      <c r="D76" s="24"/>
      <c r="E76" s="24"/>
      <c r="F76" s="24"/>
      <c r="G76" s="24"/>
      <c r="H76" s="24"/>
      <c r="I76" s="24"/>
      <c r="L76" s="24"/>
      <c r="M76" s="24">
        <f>R9*(B9/C9)</f>
        <v>0.75267323766798055</v>
      </c>
      <c r="N76" s="24" t="s">
        <v>57</v>
      </c>
      <c r="O76" s="24"/>
      <c r="P76" s="24"/>
      <c r="S76" s="24"/>
      <c r="T76" s="24">
        <f>R12*(B11/C11)</f>
        <v>0.16410917376850018</v>
      </c>
      <c r="U76" s="24" t="s">
        <v>57</v>
      </c>
    </row>
    <row r="77" spans="2:21" x14ac:dyDescent="0.3">
      <c r="B77" s="24"/>
      <c r="C77" s="24">
        <f>R1*(C2/B2)</f>
        <v>3.6121847500002392E-4</v>
      </c>
      <c r="D77" s="24" t="s">
        <v>58</v>
      </c>
      <c r="E77" s="24"/>
      <c r="F77" s="24"/>
      <c r="G77" s="24"/>
      <c r="H77" s="24">
        <f>R5*(C4/B4)</f>
        <v>0.35536712583701818</v>
      </c>
      <c r="I77" s="24" t="s">
        <v>58</v>
      </c>
      <c r="L77" s="24"/>
      <c r="M77" s="24"/>
      <c r="N77" s="24"/>
      <c r="O77" s="24"/>
      <c r="P77" s="24"/>
      <c r="S77" s="24"/>
      <c r="T77" s="24"/>
      <c r="U77" s="24"/>
    </row>
    <row r="78" spans="2:21" x14ac:dyDescent="0.3">
      <c r="B78" s="24"/>
      <c r="C78" s="24"/>
      <c r="D78" s="24"/>
      <c r="E78" s="24"/>
      <c r="F78" s="24"/>
      <c r="G78" s="24"/>
      <c r="H78" s="24"/>
      <c r="I78" s="24"/>
      <c r="L78" s="24"/>
      <c r="M78" s="24">
        <f>R8*(C9/B9)</f>
        <v>0.33468776730539918</v>
      </c>
      <c r="N78" s="24" t="s">
        <v>58</v>
      </c>
      <c r="O78" s="24"/>
      <c r="P78" s="24"/>
      <c r="S78" s="24"/>
      <c r="T78" s="24">
        <f>R11*(C11/B11)</f>
        <v>3.0984703822542321E-2</v>
      </c>
      <c r="U78" s="24" t="s">
        <v>58</v>
      </c>
    </row>
    <row r="79" spans="2:21" x14ac:dyDescent="0.3">
      <c r="B79" s="24" t="s">
        <v>59</v>
      </c>
      <c r="C79" s="24"/>
      <c r="D79" s="24"/>
      <c r="E79" s="24"/>
      <c r="F79" s="24"/>
      <c r="G79" s="24" t="s">
        <v>59</v>
      </c>
      <c r="H79" s="24"/>
      <c r="I79" s="24"/>
      <c r="L79" s="24"/>
      <c r="M79" s="24"/>
      <c r="N79" s="24"/>
      <c r="O79" s="24"/>
      <c r="P79" s="24"/>
      <c r="S79" s="24"/>
      <c r="T79" s="24"/>
      <c r="U79" s="24"/>
    </row>
    <row r="80" spans="2:21" x14ac:dyDescent="0.3">
      <c r="B80" s="24"/>
      <c r="C80" s="24"/>
      <c r="D80" s="25" t="s">
        <v>72</v>
      </c>
      <c r="E80" s="24"/>
      <c r="F80" s="24"/>
      <c r="G80" s="24"/>
      <c r="H80" s="24"/>
      <c r="I80" s="25" t="s">
        <v>70</v>
      </c>
      <c r="L80" s="24" t="s">
        <v>64</v>
      </c>
      <c r="M80" s="24"/>
      <c r="N80" s="24"/>
      <c r="O80" s="24"/>
      <c r="P80" s="24"/>
      <c r="S80" s="24" t="s">
        <v>64</v>
      </c>
      <c r="T80" s="24"/>
      <c r="U80" s="24"/>
    </row>
    <row r="81" spans="2:21" x14ac:dyDescent="0.3">
      <c r="B81" s="24"/>
      <c r="C81" s="24"/>
      <c r="D81" s="24"/>
      <c r="E81" s="24"/>
      <c r="F81" s="24"/>
      <c r="G81" s="24"/>
      <c r="H81" s="24"/>
      <c r="I81" s="24"/>
      <c r="L81" s="24"/>
      <c r="M81" s="24"/>
      <c r="N81" s="25" t="s">
        <v>73</v>
      </c>
      <c r="O81" s="24"/>
      <c r="P81" s="24"/>
      <c r="S81" s="24"/>
      <c r="T81" s="24"/>
      <c r="U81" s="25" t="s">
        <v>74</v>
      </c>
    </row>
    <row r="82" spans="2:21" x14ac:dyDescent="0.3">
      <c r="B82" s="24"/>
      <c r="C82" s="24"/>
      <c r="D82" s="24"/>
      <c r="E82" s="24"/>
      <c r="F82" s="24"/>
      <c r="G82" s="24"/>
      <c r="H82" s="24"/>
      <c r="I82" s="24"/>
      <c r="L82" s="24"/>
      <c r="M82" s="24"/>
      <c r="N82" s="24"/>
      <c r="O82" s="24"/>
      <c r="P82" s="24"/>
      <c r="S82" s="24"/>
      <c r="T82" s="24"/>
      <c r="U82" s="24"/>
    </row>
    <row r="83" spans="2:21" x14ac:dyDescent="0.3">
      <c r="B83" s="24"/>
      <c r="C83" s="24"/>
      <c r="D83" s="24"/>
      <c r="E83" s="24"/>
      <c r="F83" s="24"/>
      <c r="G83" s="24"/>
      <c r="H83" s="24"/>
      <c r="I83" s="24"/>
      <c r="L83" s="24"/>
      <c r="M83" s="24"/>
      <c r="N83" s="24"/>
      <c r="O83" s="24"/>
      <c r="P83" s="24"/>
      <c r="S83" s="24"/>
      <c r="T83" s="24"/>
      <c r="U83" s="24"/>
    </row>
    <row r="84" spans="2:21" x14ac:dyDescent="0.3">
      <c r="B84" s="24"/>
      <c r="C84" s="25"/>
      <c r="D84" s="24"/>
      <c r="E84" s="24"/>
      <c r="F84" s="24"/>
      <c r="G84" s="24"/>
      <c r="H84" s="25"/>
      <c r="I84" s="24"/>
      <c r="L84" s="24"/>
      <c r="M84" s="24"/>
      <c r="N84" s="24"/>
      <c r="O84" s="24"/>
      <c r="P84" s="24"/>
      <c r="S84" s="24"/>
      <c r="T84" s="24"/>
      <c r="U84" s="24"/>
    </row>
    <row r="85" spans="2:21" x14ac:dyDescent="0.3">
      <c r="B85" s="24"/>
      <c r="C85" s="26"/>
      <c r="D85" s="24"/>
      <c r="E85" s="24"/>
      <c r="F85" s="24"/>
      <c r="G85" s="24"/>
      <c r="H85" s="26"/>
      <c r="I85" s="24"/>
      <c r="L85" s="24"/>
      <c r="M85" s="25"/>
      <c r="N85" s="24"/>
      <c r="O85" s="24"/>
      <c r="P85" s="24"/>
      <c r="S85" s="24"/>
      <c r="T85" s="25"/>
      <c r="U85" s="24"/>
    </row>
    <row r="86" spans="2:21" x14ac:dyDescent="0.3">
      <c r="B86" s="24"/>
      <c r="C86" s="24"/>
      <c r="D86" s="24"/>
      <c r="E86" s="24"/>
      <c r="F86" s="24"/>
      <c r="G86" s="24"/>
      <c r="H86" s="24"/>
      <c r="I86" s="24"/>
      <c r="L86" s="24"/>
      <c r="M86" s="26"/>
      <c r="N86" s="24"/>
      <c r="O86" s="24"/>
      <c r="P86" s="24"/>
      <c r="S86" s="24"/>
      <c r="T86" s="26"/>
      <c r="U86" s="24"/>
    </row>
    <row r="87" spans="2:21" x14ac:dyDescent="0.3">
      <c r="B87" s="24"/>
      <c r="C87" s="24"/>
      <c r="D87" s="24"/>
      <c r="E87" s="24"/>
      <c r="F87" s="24"/>
      <c r="G87" s="24"/>
      <c r="H87" s="24"/>
      <c r="I87" s="24"/>
      <c r="L87" s="24"/>
      <c r="M87" s="24"/>
      <c r="N87" s="24"/>
      <c r="O87" s="24"/>
      <c r="P87" s="24"/>
      <c r="S87" s="24"/>
      <c r="T87" s="24"/>
      <c r="U87" s="24"/>
    </row>
    <row r="88" spans="2:21" x14ac:dyDescent="0.3">
      <c r="B88" s="24"/>
      <c r="C88" s="24"/>
      <c r="D88" s="25"/>
      <c r="E88" s="24"/>
      <c r="F88" s="25"/>
      <c r="G88" s="24"/>
      <c r="H88" s="24"/>
      <c r="I88" s="25"/>
      <c r="L88" s="24"/>
      <c r="M88" s="24"/>
      <c r="N88" s="24"/>
      <c r="O88" s="24"/>
      <c r="P88" s="24"/>
      <c r="S88" s="24"/>
      <c r="T88" s="24"/>
      <c r="U88" s="24"/>
    </row>
    <row r="89" spans="2:21" x14ac:dyDescent="0.3">
      <c r="B89" s="24"/>
      <c r="C89" s="24"/>
      <c r="D89" s="24"/>
      <c r="E89" s="24"/>
      <c r="F89" s="24"/>
      <c r="G89" s="24"/>
      <c r="H89" s="24"/>
      <c r="I89" s="24"/>
      <c r="L89" s="24"/>
      <c r="M89" s="24"/>
      <c r="N89" s="25"/>
      <c r="O89" s="24"/>
      <c r="P89" s="25"/>
      <c r="S89" s="24"/>
      <c r="T89" s="24"/>
      <c r="U89" s="25"/>
    </row>
    <row r="90" spans="2:21" x14ac:dyDescent="0.3">
      <c r="B90" s="24"/>
      <c r="C90" s="24"/>
      <c r="D90" s="24"/>
      <c r="E90" s="24"/>
      <c r="F90" s="24"/>
      <c r="G90" s="24"/>
      <c r="H90" s="24"/>
      <c r="I90" s="24"/>
      <c r="L90" s="24"/>
      <c r="M90" s="24"/>
      <c r="N90" s="24"/>
      <c r="O90" s="24"/>
      <c r="P90" s="24"/>
      <c r="S90" s="24"/>
      <c r="T90" s="24"/>
      <c r="U90" s="24"/>
    </row>
    <row r="91" spans="2:21" x14ac:dyDescent="0.3">
      <c r="L91" s="24"/>
      <c r="M91" s="24"/>
      <c r="N91" s="24"/>
      <c r="O91" s="24"/>
      <c r="P91" s="24"/>
      <c r="S91" s="24"/>
      <c r="T91" s="24"/>
      <c r="U91" s="24"/>
    </row>
    <row r="97" spans="5:13" x14ac:dyDescent="0.3">
      <c r="E97" t="s">
        <v>68</v>
      </c>
      <c r="F97" t="s">
        <v>67</v>
      </c>
      <c r="G97" t="s">
        <v>69</v>
      </c>
    </row>
    <row r="98" spans="5:13" x14ac:dyDescent="0.3">
      <c r="E98">
        <v>1</v>
      </c>
      <c r="F98">
        <f>D73</f>
        <v>-0.47941284237631543</v>
      </c>
      <c r="G98" s="27">
        <v>0.1</v>
      </c>
      <c r="M98" s="16"/>
    </row>
    <row r="99" spans="5:13" x14ac:dyDescent="0.3">
      <c r="E99">
        <v>2</v>
      </c>
      <c r="F99">
        <f>I73</f>
        <v>0.31326648663893181</v>
      </c>
      <c r="G99" s="27">
        <v>0.66</v>
      </c>
    </row>
    <row r="100" spans="5:13" x14ac:dyDescent="0.3">
      <c r="E100">
        <v>3</v>
      </c>
      <c r="F100">
        <f>N74</f>
        <v>0.40521656349204277</v>
      </c>
      <c r="G100" s="27">
        <v>0.75</v>
      </c>
    </row>
    <row r="101" spans="5:13" x14ac:dyDescent="0.3">
      <c r="E101">
        <v>4</v>
      </c>
      <c r="F101">
        <f>U74</f>
        <v>0.83351912121356952</v>
      </c>
      <c r="G101" s="27">
        <v>0.95</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no borrar</vt:lpstr>
      <vt:lpstr>KURSK</vt:lpstr>
    </vt:vector>
  </TitlesOfParts>
  <Company>Isdefe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Isdefe</dc:creator>
  <cp:lastModifiedBy>Isdefe</cp:lastModifiedBy>
  <dcterms:created xsi:type="dcterms:W3CDTF">2021-07-19T07:55:58Z</dcterms:created>
  <dcterms:modified xsi:type="dcterms:W3CDTF">2021-08-12T12:16:53Z</dcterms:modified>
</cp:coreProperties>
</file>